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ike 1 2/Desktop/"/>
    </mc:Choice>
  </mc:AlternateContent>
  <xr:revisionPtr revIDLastSave="0" documentId="8_{8B1A26FC-A7EE-DE4E-8F06-0105AB211738}" xr6:coauthVersionLast="47" xr6:coauthVersionMax="47" xr10:uidLastSave="{00000000-0000-0000-0000-000000000000}"/>
  <bookViews>
    <workbookView xWindow="11980" yWindow="5900" windowWidth="27640" windowHeight="16940" xr2:uid="{F37A53ED-9575-D74D-83B6-EC0F0E0A3839}"/>
  </bookViews>
  <sheets>
    <sheet name="Steps for radii (2)" sheetId="2" r:id="rId1"/>
    <sheet name="Steps for radii" sheetId="1" r:id="rId2"/>
  </sheets>
  <externalReferences>
    <externalReference r:id="rId3"/>
  </externalReferences>
  <definedNames>
    <definedName name="C_">'[1]Steps for radii (2)'!$E$8</definedName>
    <definedName name="Cact">'[1]Steps for radii (2)'!$E$5</definedName>
    <definedName name="CODmax">'[1]Steps for radii (2)'!$E$4</definedName>
    <definedName name="DIAM1">'[1]Steps for radii (2)'!$E$2</definedName>
    <definedName name="diam2">'Steps for radii (2)'!$E$4</definedName>
    <definedName name="h">'[1]Steps for radii (2)'!$E$9</definedName>
    <definedName name="incsm">'Steps for radii (2)'!#REF!</definedName>
    <definedName name="maxdia">'[1]Steps for radii (2)'!$E$3</definedName>
    <definedName name="Odmaj">'[1]Steps for radii (2)'!$E$12</definedName>
    <definedName name="ODmin">'Steps for radii (2)'!$E$11</definedName>
    <definedName name="offset">'[1]Steps for radii (2)'!$E$7</definedName>
    <definedName name="p">'[1]pythagorean triples'!$F$2</definedName>
    <definedName name="_xlnm.Print_Area" localSheetId="0">'Steps for radii (2)'!$A$1:$F$60</definedName>
    <definedName name="q">'[1]pythagorean triples'!$F$3</definedName>
    <definedName name="radius">'[1]Steps for radii (2)'!$E$13</definedName>
    <definedName name="step_d">'[1]Steps for radii (2)'!$E$10</definedName>
    <definedName name="steps">'[1]Steps for radii (2)'!$E$6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7" i="2" l="1"/>
  <c r="C16" i="2"/>
  <c r="D16" i="2" s="1"/>
  <c r="E16" i="2" s="1"/>
  <c r="F16" i="2" s="1"/>
  <c r="B16" i="2"/>
  <c r="E13" i="2"/>
  <c r="E12" i="2"/>
  <c r="E11" i="2"/>
  <c r="E10" i="2"/>
  <c r="E9" i="2"/>
  <c r="E8" i="2"/>
  <c r="I6" i="2"/>
  <c r="E4" i="2"/>
  <c r="B27" i="1"/>
  <c r="C27" i="1" s="1"/>
  <c r="D27" i="1" s="1"/>
  <c r="B26" i="1"/>
  <c r="E26" i="1" s="1"/>
  <c r="B25" i="1"/>
  <c r="C25" i="1" s="1"/>
  <c r="D25" i="1" s="1"/>
  <c r="B24" i="1"/>
  <c r="E24" i="1" s="1"/>
  <c r="B23" i="1"/>
  <c r="C23" i="1" s="1"/>
  <c r="D23" i="1" s="1"/>
  <c r="B22" i="1"/>
  <c r="E22" i="1" s="1"/>
  <c r="B21" i="1"/>
  <c r="C21" i="1" s="1"/>
  <c r="D21" i="1" s="1"/>
  <c r="B20" i="1"/>
  <c r="E20" i="1" s="1"/>
  <c r="B19" i="1"/>
  <c r="C19" i="1" s="1"/>
  <c r="D19" i="1" s="1"/>
  <c r="B18" i="1"/>
  <c r="E18" i="1" s="1"/>
  <c r="D2" i="1"/>
  <c r="D6" i="1" s="1"/>
  <c r="B17" i="2" l="1"/>
  <c r="C17" i="2"/>
  <c r="D17" i="2" s="1"/>
  <c r="E17" i="2" s="1"/>
  <c r="F17" i="2" s="1"/>
  <c r="A18" i="2"/>
  <c r="H20" i="1"/>
  <c r="I20" i="1" s="1"/>
  <c r="F20" i="1"/>
  <c r="H24" i="1"/>
  <c r="I24" i="1" s="1"/>
  <c r="F24" i="1"/>
  <c r="G23" i="1"/>
  <c r="G21" i="1"/>
  <c r="G26" i="1"/>
  <c r="G24" i="1"/>
  <c r="G22" i="1"/>
  <c r="G20" i="1"/>
  <c r="G18" i="1"/>
  <c r="H26" i="1"/>
  <c r="I26" i="1" s="1"/>
  <c r="F26" i="1"/>
  <c r="H18" i="1"/>
  <c r="I18" i="1" s="1"/>
  <c r="F18" i="1"/>
  <c r="H22" i="1"/>
  <c r="I22" i="1" s="1"/>
  <c r="F22" i="1"/>
  <c r="G3" i="1"/>
  <c r="C18" i="1"/>
  <c r="D18" i="1" s="1"/>
  <c r="E19" i="1"/>
  <c r="C20" i="1"/>
  <c r="D20" i="1" s="1"/>
  <c r="E21" i="1"/>
  <c r="C22" i="1"/>
  <c r="D22" i="1" s="1"/>
  <c r="E23" i="1"/>
  <c r="C24" i="1"/>
  <c r="D24" i="1" s="1"/>
  <c r="E25" i="1"/>
  <c r="C26" i="1"/>
  <c r="D26" i="1" s="1"/>
  <c r="E27" i="1"/>
  <c r="D4" i="1"/>
  <c r="B8" i="1" s="1"/>
  <c r="B18" i="2" l="1"/>
  <c r="D18" i="2"/>
  <c r="E18" i="2" s="1"/>
  <c r="F18" i="2" s="1"/>
  <c r="A19" i="2"/>
  <c r="C18" i="2"/>
  <c r="F25" i="1"/>
  <c r="H25" i="1"/>
  <c r="I25" i="1" s="1"/>
  <c r="F21" i="1"/>
  <c r="H21" i="1"/>
  <c r="I21" i="1" s="1"/>
  <c r="E8" i="1"/>
  <c r="B9" i="1"/>
  <c r="C8" i="1"/>
  <c r="D8" i="1" s="1"/>
  <c r="G25" i="1"/>
  <c r="F27" i="1"/>
  <c r="H27" i="1"/>
  <c r="I27" i="1" s="1"/>
  <c r="F23" i="1"/>
  <c r="H23" i="1"/>
  <c r="I23" i="1" s="1"/>
  <c r="F19" i="1"/>
  <c r="H19" i="1"/>
  <c r="I19" i="1" s="1"/>
  <c r="G19" i="1"/>
  <c r="G27" i="1"/>
  <c r="A20" i="2" l="1"/>
  <c r="C19" i="2"/>
  <c r="D19" i="2" s="1"/>
  <c r="E19" i="2" s="1"/>
  <c r="F19" i="2" s="1"/>
  <c r="B19" i="2"/>
  <c r="C9" i="1"/>
  <c r="D9" i="1" s="1"/>
  <c r="E9" i="1"/>
  <c r="B10" i="1"/>
  <c r="H8" i="1"/>
  <c r="I8" i="1" s="1"/>
  <c r="F8" i="1"/>
  <c r="G8" i="1"/>
  <c r="B20" i="2" l="1"/>
  <c r="A21" i="2"/>
  <c r="C20" i="2"/>
  <c r="D20" i="2" s="1"/>
  <c r="E20" i="2" s="1"/>
  <c r="F20" i="2" s="1"/>
  <c r="E10" i="1"/>
  <c r="B11" i="1"/>
  <c r="C10" i="1"/>
  <c r="D10" i="1" s="1"/>
  <c r="F9" i="1"/>
  <c r="H9" i="1"/>
  <c r="I9" i="1" s="1"/>
  <c r="G9" i="1"/>
  <c r="J9" i="1" s="1"/>
  <c r="K9" i="1" s="1"/>
  <c r="J8" i="1"/>
  <c r="A22" i="2" l="1"/>
  <c r="C21" i="2"/>
  <c r="D21" i="2" s="1"/>
  <c r="E21" i="2" s="1"/>
  <c r="F21" i="2" s="1"/>
  <c r="B21" i="2"/>
  <c r="K8" i="1"/>
  <c r="C11" i="1"/>
  <c r="D11" i="1" s="1"/>
  <c r="E11" i="1"/>
  <c r="B12" i="1"/>
  <c r="H10" i="1"/>
  <c r="I10" i="1" s="1"/>
  <c r="F10" i="1"/>
  <c r="G10" i="1"/>
  <c r="B22" i="2" l="1"/>
  <c r="D22" i="2"/>
  <c r="E22" i="2" s="1"/>
  <c r="F22" i="2" s="1"/>
  <c r="A23" i="2"/>
  <c r="C22" i="2"/>
  <c r="E12" i="1"/>
  <c r="B13" i="1"/>
  <c r="C12" i="1"/>
  <c r="D12" i="1" s="1"/>
  <c r="J10" i="1"/>
  <c r="F11" i="1"/>
  <c r="H11" i="1"/>
  <c r="I11" i="1" s="1"/>
  <c r="G11" i="1"/>
  <c r="A24" i="2" l="1"/>
  <c r="C23" i="2"/>
  <c r="D23" i="2" s="1"/>
  <c r="E23" i="2" s="1"/>
  <c r="F23" i="2" s="1"/>
  <c r="B23" i="2"/>
  <c r="K10" i="1"/>
  <c r="J11" i="1"/>
  <c r="K11" i="1" s="1"/>
  <c r="C13" i="1"/>
  <c r="D13" i="1" s="1"/>
  <c r="E13" i="1"/>
  <c r="B14" i="1"/>
  <c r="H12" i="1"/>
  <c r="I12" i="1" s="1"/>
  <c r="F12" i="1"/>
  <c r="G12" i="1"/>
  <c r="B24" i="2" l="1"/>
  <c r="E24" i="2"/>
  <c r="F24" i="2" s="1"/>
  <c r="D24" i="2"/>
  <c r="A25" i="2"/>
  <c r="C24" i="2"/>
  <c r="E14" i="1"/>
  <c r="B15" i="1"/>
  <c r="C14" i="1"/>
  <c r="D14" i="1" s="1"/>
  <c r="J12" i="1"/>
  <c r="K12" i="1" s="1"/>
  <c r="F13" i="1"/>
  <c r="H13" i="1"/>
  <c r="I13" i="1" s="1"/>
  <c r="G13" i="1"/>
  <c r="J13" i="1" s="1"/>
  <c r="K13" i="1" s="1"/>
  <c r="A26" i="2" l="1"/>
  <c r="C25" i="2"/>
  <c r="D25" i="2" s="1"/>
  <c r="E25" i="2" s="1"/>
  <c r="F25" i="2" s="1"/>
  <c r="B25" i="2"/>
  <c r="C15" i="1"/>
  <c r="D15" i="1" s="1"/>
  <c r="E15" i="1"/>
  <c r="B16" i="1"/>
  <c r="H14" i="1"/>
  <c r="I14" i="1" s="1"/>
  <c r="F14" i="1"/>
  <c r="G14" i="1"/>
  <c r="J14" i="1" s="1"/>
  <c r="K14" i="1" s="1"/>
  <c r="B26" i="2" l="1"/>
  <c r="A27" i="2"/>
  <c r="C26" i="2"/>
  <c r="D26" i="2" s="1"/>
  <c r="E26" i="2" s="1"/>
  <c r="F26" i="2" s="1"/>
  <c r="F15" i="1"/>
  <c r="H15" i="1"/>
  <c r="I15" i="1" s="1"/>
  <c r="G15" i="1"/>
  <c r="J15" i="1" s="1"/>
  <c r="K15" i="1" s="1"/>
  <c r="E16" i="1"/>
  <c r="B17" i="1"/>
  <c r="C16" i="1"/>
  <c r="D16" i="1" s="1"/>
  <c r="A28" i="2" l="1"/>
  <c r="C27" i="2"/>
  <c r="D27" i="2" s="1"/>
  <c r="E27" i="2" s="1"/>
  <c r="F27" i="2" s="1"/>
  <c r="B27" i="2"/>
  <c r="H16" i="1"/>
  <c r="I16" i="1" s="1"/>
  <c r="F16" i="1"/>
  <c r="G16" i="1"/>
  <c r="J16" i="1" s="1"/>
  <c r="K16" i="1" s="1"/>
  <c r="C17" i="1"/>
  <c r="D17" i="1" s="1"/>
  <c r="E17" i="1"/>
  <c r="B28" i="2" l="1"/>
  <c r="D28" i="2"/>
  <c r="E28" i="2" s="1"/>
  <c r="F28" i="2" s="1"/>
  <c r="A29" i="2"/>
  <c r="C28" i="2"/>
  <c r="F17" i="1"/>
  <c r="H17" i="1"/>
  <c r="I17" i="1" s="1"/>
  <c r="G17" i="1"/>
  <c r="J17" i="1" s="1"/>
  <c r="A30" i="2" l="1"/>
  <c r="C29" i="2"/>
  <c r="D29" i="2" s="1"/>
  <c r="E29" i="2" s="1"/>
  <c r="F29" i="2" s="1"/>
  <c r="B29" i="2"/>
  <c r="K17" i="1"/>
  <c r="J18" i="1"/>
  <c r="B30" i="2" l="1"/>
  <c r="D30" i="2"/>
  <c r="E30" i="2" s="1"/>
  <c r="F30" i="2" s="1"/>
  <c r="A31" i="2"/>
  <c r="C30" i="2"/>
  <c r="K18" i="1"/>
  <c r="J19" i="1"/>
  <c r="D31" i="2" l="1"/>
  <c r="E31" i="2" s="1"/>
  <c r="F31" i="2" s="1"/>
  <c r="A32" i="2"/>
  <c r="C31" i="2"/>
  <c r="B31" i="2"/>
  <c r="K19" i="1"/>
  <c r="J20" i="1"/>
  <c r="B32" i="2" l="1"/>
  <c r="E32" i="2"/>
  <c r="F32" i="2" s="1"/>
  <c r="D32" i="2"/>
  <c r="A33" i="2"/>
  <c r="C32" i="2"/>
  <c r="K20" i="1"/>
  <c r="J21" i="1"/>
  <c r="A34" i="2" l="1"/>
  <c r="C33" i="2"/>
  <c r="D33" i="2" s="1"/>
  <c r="E33" i="2" s="1"/>
  <c r="F33" i="2" s="1"/>
  <c r="B33" i="2"/>
  <c r="K21" i="1"/>
  <c r="J22" i="1"/>
  <c r="B34" i="2" l="1"/>
  <c r="D34" i="2"/>
  <c r="E34" i="2" s="1"/>
  <c r="F34" i="2" s="1"/>
  <c r="A35" i="2"/>
  <c r="C34" i="2"/>
  <c r="K22" i="1"/>
  <c r="J23" i="1"/>
  <c r="A36" i="2" l="1"/>
  <c r="C35" i="2"/>
  <c r="D35" i="2" s="1"/>
  <c r="E35" i="2" s="1"/>
  <c r="F35" i="2" s="1"/>
  <c r="B35" i="2"/>
  <c r="K23" i="1"/>
  <c r="J24" i="1"/>
  <c r="B36" i="2" l="1"/>
  <c r="D36" i="2"/>
  <c r="E36" i="2" s="1"/>
  <c r="F36" i="2" s="1"/>
  <c r="A37" i="2"/>
  <c r="C36" i="2"/>
  <c r="K24" i="1"/>
  <c r="J25" i="1"/>
  <c r="A38" i="2" l="1"/>
  <c r="C37" i="2"/>
  <c r="D37" i="2" s="1"/>
  <c r="E37" i="2" s="1"/>
  <c r="F37" i="2" s="1"/>
  <c r="B37" i="2"/>
  <c r="K25" i="1"/>
  <c r="J26" i="1"/>
  <c r="B38" i="2" l="1"/>
  <c r="D38" i="2"/>
  <c r="E38" i="2" s="1"/>
  <c r="F38" i="2" s="1"/>
  <c r="A39" i="2"/>
  <c r="C38" i="2"/>
  <c r="K26" i="1"/>
  <c r="J27" i="1"/>
  <c r="K27" i="1" s="1"/>
  <c r="A40" i="2" l="1"/>
  <c r="C39" i="2"/>
  <c r="D39" i="2" s="1"/>
  <c r="E39" i="2" s="1"/>
  <c r="F39" i="2" s="1"/>
  <c r="B39" i="2"/>
  <c r="B40" i="2" l="1"/>
  <c r="D40" i="2"/>
  <c r="E40" i="2" s="1"/>
  <c r="F40" i="2" s="1"/>
  <c r="A41" i="2"/>
  <c r="C40" i="2"/>
  <c r="A42" i="2" l="1"/>
  <c r="C41" i="2"/>
  <c r="D41" i="2" s="1"/>
  <c r="E41" i="2" s="1"/>
  <c r="F41" i="2" s="1"/>
  <c r="B41" i="2"/>
  <c r="B42" i="2" l="1"/>
  <c r="E42" i="2"/>
  <c r="F42" i="2" s="1"/>
  <c r="D42" i="2"/>
  <c r="A43" i="2"/>
  <c r="C42" i="2"/>
  <c r="A44" i="2" l="1"/>
  <c r="C43" i="2"/>
  <c r="D43" i="2" s="1"/>
  <c r="E43" i="2" s="1"/>
  <c r="F43" i="2" s="1"/>
  <c r="B43" i="2"/>
  <c r="B44" i="2" l="1"/>
  <c r="D44" i="2"/>
  <c r="E44" i="2" s="1"/>
  <c r="F44" i="2" s="1"/>
  <c r="A45" i="2"/>
  <c r="C44" i="2"/>
  <c r="A46" i="2" l="1"/>
  <c r="C45" i="2"/>
  <c r="D45" i="2" s="1"/>
  <c r="E45" i="2" s="1"/>
  <c r="F45" i="2" s="1"/>
  <c r="B45" i="2"/>
  <c r="B46" i="2" l="1"/>
  <c r="D46" i="2"/>
  <c r="E46" i="2" s="1"/>
  <c r="F46" i="2" s="1"/>
  <c r="A47" i="2"/>
  <c r="C46" i="2"/>
  <c r="A48" i="2" l="1"/>
  <c r="C47" i="2"/>
  <c r="D47" i="2" s="1"/>
  <c r="E47" i="2" s="1"/>
  <c r="F47" i="2" s="1"/>
  <c r="B47" i="2"/>
  <c r="B48" i="2" l="1"/>
  <c r="D48" i="2"/>
  <c r="E48" i="2" s="1"/>
  <c r="F48" i="2" s="1"/>
  <c r="A49" i="2"/>
  <c r="C48" i="2"/>
  <c r="A50" i="2" l="1"/>
  <c r="C49" i="2"/>
  <c r="D49" i="2" s="1"/>
  <c r="E49" i="2" s="1"/>
  <c r="F49" i="2" s="1"/>
  <c r="B49" i="2"/>
  <c r="B50" i="2" l="1"/>
  <c r="D50" i="2"/>
  <c r="E50" i="2" s="1"/>
  <c r="F50" i="2" s="1"/>
  <c r="A51" i="2"/>
  <c r="C50" i="2"/>
  <c r="A52" i="2" l="1"/>
  <c r="C51" i="2"/>
  <c r="D51" i="2" s="1"/>
  <c r="E51" i="2" s="1"/>
  <c r="F51" i="2" s="1"/>
  <c r="B51" i="2"/>
  <c r="B52" i="2" l="1"/>
  <c r="D52" i="2"/>
  <c r="E52" i="2" s="1"/>
  <c r="F52" i="2" s="1"/>
  <c r="A53" i="2"/>
  <c r="C52" i="2"/>
  <c r="A54" i="2" l="1"/>
  <c r="C53" i="2"/>
  <c r="D53" i="2" s="1"/>
  <c r="E53" i="2" s="1"/>
  <c r="F53" i="2" s="1"/>
  <c r="B53" i="2"/>
  <c r="B54" i="2" l="1"/>
  <c r="D54" i="2"/>
  <c r="E54" i="2" s="1"/>
  <c r="F54" i="2" s="1"/>
  <c r="A55" i="2"/>
  <c r="C54" i="2"/>
  <c r="A56" i="2" l="1"/>
  <c r="C55" i="2"/>
  <c r="D55" i="2" s="1"/>
  <c r="E55" i="2" s="1"/>
  <c r="F55" i="2" s="1"/>
  <c r="B55" i="2"/>
  <c r="B56" i="2" l="1"/>
  <c r="E56" i="2"/>
  <c r="F56" i="2" s="1"/>
  <c r="D56" i="2"/>
  <c r="A57" i="2"/>
  <c r="C56" i="2"/>
  <c r="A58" i="2" l="1"/>
  <c r="C57" i="2"/>
  <c r="D57" i="2" s="1"/>
  <c r="E57" i="2" s="1"/>
  <c r="F57" i="2" s="1"/>
  <c r="B57" i="2"/>
  <c r="B58" i="2" l="1"/>
  <c r="D58" i="2"/>
  <c r="E58" i="2" s="1"/>
  <c r="F58" i="2" s="1"/>
  <c r="A59" i="2"/>
  <c r="C58" i="2"/>
  <c r="D59" i="2" l="1"/>
  <c r="A60" i="2"/>
  <c r="C59" i="2"/>
  <c r="F59" i="2"/>
  <c r="B59" i="2"/>
  <c r="E59" i="2"/>
  <c r="F60" i="2" l="1"/>
  <c r="B60" i="2"/>
  <c r="E60" i="2"/>
  <c r="D60" i="2"/>
  <c r="C60" i="2"/>
</calcChain>
</file>

<file path=xl/sharedStrings.xml><?xml version="1.0" encoding="utf-8"?>
<sst xmlns="http://schemas.openxmlformats.org/spreadsheetml/2006/main" count="55" uniqueCount="53">
  <si>
    <t>This is used to create a step function to machine a radius and finish by hand. Similar to sheet Steps for tapers</t>
  </si>
  <si>
    <t>Enter final radius [R]</t>
  </si>
  <si>
    <t>Enter material allowance [r]</t>
  </si>
  <si>
    <t>enter axial step distance (d)</t>
  </si>
  <si>
    <t>Enter # of steps</t>
  </si>
  <si>
    <t>total length ( cut-off length)</t>
  </si>
  <si>
    <t>steps</t>
  </si>
  <si>
    <t>axial l (d)</t>
  </si>
  <si>
    <t>angle A (rad)</t>
  </si>
  <si>
    <t>angle A (deg)</t>
  </si>
  <si>
    <t>Angle B (rad)</t>
  </si>
  <si>
    <t>angle B (deg)</t>
  </si>
  <si>
    <t>length s</t>
  </si>
  <si>
    <t>Angle C</t>
  </si>
  <si>
    <t>angle C (deg)</t>
  </si>
  <si>
    <t>Depth step (t)</t>
  </si>
  <si>
    <t>OD</t>
  </si>
  <si>
    <t>Enter pen blank finished dia @ nib/tip end</t>
  </si>
  <si>
    <t>DIAM1</t>
  </si>
  <si>
    <t>Enter max pen blank finished dia</t>
  </si>
  <si>
    <t>maxdia</t>
  </si>
  <si>
    <t>Enter distance from end to max dia</t>
  </si>
  <si>
    <t>CODmax</t>
  </si>
  <si>
    <t>adjust to get proper end dia</t>
  </si>
  <si>
    <t>Enter blank length</t>
  </si>
  <si>
    <t>Cact</t>
  </si>
  <si>
    <t>Enter number of steps (max 40)</t>
  </si>
  <si>
    <t>recommended # of steps:</t>
  </si>
  <si>
    <t>for 0.100 step length</t>
  </si>
  <si>
    <t>enter dia offset material allowance</t>
  </si>
  <si>
    <t>offset</t>
  </si>
  <si>
    <t>per side</t>
  </si>
  <si>
    <t>0.02 recommended for filing and sanding</t>
  </si>
  <si>
    <t>Calculate chord length</t>
  </si>
  <si>
    <t>C</t>
  </si>
  <si>
    <t>chord height</t>
  </si>
  <si>
    <t>h</t>
  </si>
  <si>
    <t>axial step distance (d)</t>
  </si>
  <si>
    <t>step_d</t>
  </si>
  <si>
    <t>Actual minor dia</t>
  </si>
  <si>
    <t>ODmin</t>
  </si>
  <si>
    <t>Actual major dia</t>
  </si>
  <si>
    <t>Odmaj</t>
  </si>
  <si>
    <t>radius</t>
  </si>
  <si>
    <t>r</t>
  </si>
  <si>
    <t>Pencil</t>
  </si>
  <si>
    <t>step (n)</t>
  </si>
  <si>
    <t>step axial distance (x)</t>
  </si>
  <si>
    <t>x</t>
  </si>
  <si>
    <t>y</t>
  </si>
  <si>
    <t>Dia</t>
  </si>
  <si>
    <t>Plunge distance</t>
  </si>
  <si>
    <t>See Cad file for drawing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</si>
</sst>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4" x14ac:knownFonts="1">
    <font>
      <sz val="10"/>
      <name val="Verdana"/>
      <family val="2"/>
    </font>
    <font>
      <sz val="14"/>
      <name val="Verdana"/>
      <family val="2"/>
    </font>
    <font>
      <sz val="14"/>
      <color rgb="FFFF0000"/>
      <name val="Verdana"/>
      <family val="2"/>
    </font>
    <font>
      <b/>
      <sz val="14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3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164" fontId="1" fillId="0" borderId="0" xfId="0" applyNumberFormat="1" applyFont="1" applyAlignment="1">
      <alignment vertical="center"/>
    </xf>
    <xf numFmtId="0" fontId="1" fillId="0" borderId="3" xfId="0" applyFont="1" applyBorder="1" applyAlignment="1">
      <alignment vertical="center"/>
    </xf>
    <xf numFmtId="164" fontId="1" fillId="2" borderId="3" xfId="0" applyNumberFormat="1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5" borderId="0" xfId="0" applyFont="1" applyFill="1" applyAlignment="1">
      <alignment horizontal="center" vertical="center"/>
    </xf>
    <xf numFmtId="164" fontId="1" fillId="0" borderId="3" xfId="0" applyNumberFormat="1" applyFont="1" applyBorder="1" applyAlignment="1">
      <alignment vertical="center"/>
    </xf>
    <xf numFmtId="0" fontId="1" fillId="0" borderId="0" xfId="0" quotePrefix="1" applyFont="1" applyAlignment="1">
      <alignment vertical="center"/>
    </xf>
    <xf numFmtId="0" fontId="2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1" fillId="6" borderId="1" xfId="0" applyFont="1" applyFill="1" applyBorder="1" applyAlignment="1">
      <alignment horizontal="center" vertical="center" wrapText="1"/>
    </xf>
    <xf numFmtId="164" fontId="1" fillId="6" borderId="1" xfId="0" applyNumberFormat="1" applyFont="1" applyFill="1" applyBorder="1" applyAlignment="1">
      <alignment horizontal="center" vertical="center" wrapText="1"/>
    </xf>
    <xf numFmtId="164" fontId="1" fillId="6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431800</xdr:colOff>
      <xdr:row>7</xdr:row>
      <xdr:rowOff>101600</xdr:rowOff>
    </xdr:from>
    <xdr:to>
      <xdr:col>17</xdr:col>
      <xdr:colOff>88900</xdr:colOff>
      <xdr:row>26</xdr:row>
      <xdr:rowOff>127000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96DF1E4-EDCD-2E46-998E-BB200BBBBCD2}"/>
            </a:ext>
          </a:extLst>
        </xdr:cNvPr>
        <xdr:cNvSpPr txBox="1"/>
      </xdr:nvSpPr>
      <xdr:spPr>
        <a:xfrm>
          <a:off x="7175500" y="1701800"/>
          <a:ext cx="8115300" cy="4622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800"/>
            <a:t>This sheet calculates</a:t>
          </a:r>
          <a:r>
            <a:rPr lang="en-US" sz="1800" baseline="0"/>
            <a:t> the depth to plunge from the largest OD of the blank before finishing by hand</a:t>
          </a:r>
          <a:endParaRPr lang="en-US" sz="1800"/>
        </a:p>
        <a:p>
          <a:endParaRPr lang="en-US" sz="1800"/>
        </a:p>
        <a:p>
          <a:r>
            <a:rPr lang="en-US" sz="1800"/>
            <a:t>The</a:t>
          </a:r>
          <a:r>
            <a:rPr lang="en-US" sz="1800" baseline="0"/>
            <a:t> arc must be described by a circle with one radius. </a:t>
          </a:r>
        </a:p>
        <a:p>
          <a:endParaRPr lang="en-US" sz="1800"/>
        </a:p>
        <a:p>
          <a:r>
            <a:rPr lang="en-US" sz="1800"/>
            <a:t>Enter the dia at one end of part,</a:t>
          </a:r>
          <a:r>
            <a:rPr lang="en-US" sz="1800" baseline="0"/>
            <a:t> start</a:t>
          </a:r>
          <a:r>
            <a:rPr lang="en-US" sz="1800"/>
            <a:t> diameter. enter</a:t>
          </a:r>
          <a:r>
            <a:rPr lang="en-US" sz="1800" baseline="0"/>
            <a:t> the </a:t>
          </a:r>
          <a:r>
            <a:rPr lang="en-US" sz="1800"/>
            <a:t>max diameter</a:t>
          </a:r>
          <a:r>
            <a:rPr lang="en-US" sz="1800" baseline="0"/>
            <a:t>. Enter distance to max height.</a:t>
          </a:r>
          <a:endParaRPr lang="en-US" sz="1800"/>
        </a:p>
        <a:p>
          <a:endParaRPr lang="en-US" sz="1800"/>
        </a:p>
        <a:p>
          <a:r>
            <a:rPr lang="en-US" sz="1800"/>
            <a:t>Enter the overa</a:t>
          </a:r>
          <a:r>
            <a:rPr lang="en-US" sz="1800" baseline="0"/>
            <a:t> </a:t>
          </a:r>
          <a:r>
            <a:rPr lang="en-US" sz="1800"/>
            <a:t>all</a:t>
          </a:r>
          <a:r>
            <a:rPr lang="en-US" sz="1800" baseline="0"/>
            <a:t> length, and the length at the max dia.</a:t>
          </a:r>
          <a:endParaRPr lang="en-US" sz="1800"/>
        </a:p>
        <a:p>
          <a:r>
            <a:rPr lang="en-US" sz="1800"/>
            <a:t>Enter number of steps, usually the recommended steps that make</a:t>
          </a:r>
          <a:r>
            <a:rPr lang="en-US" sz="1800" baseline="0"/>
            <a:t> 0.100" long steps</a:t>
          </a:r>
          <a:endParaRPr lang="en-US" sz="1800"/>
        </a:p>
        <a:p>
          <a:endParaRPr lang="en-US" sz="1800" baseline="0"/>
        </a:p>
        <a:p>
          <a:r>
            <a:rPr lang="en-US" sz="1800" baseline="0"/>
            <a:t>Axial step distance is contolled by the saddle. </a:t>
          </a:r>
        </a:p>
        <a:p>
          <a:r>
            <a:rPr lang="en-US" sz="1800" baseline="0"/>
            <a:t>Depth step is contolled by the cross slide.</a:t>
          </a:r>
        </a:p>
        <a:p>
          <a:endParaRPr lang="en-US" sz="1800" baseline="0"/>
        </a:p>
        <a:p>
          <a:r>
            <a:rPr lang="en-US" sz="1800" baseline="0"/>
            <a:t>If the ending diameter is not correct adjust CODmax until it is close.</a:t>
          </a:r>
        </a:p>
      </xdr:txBody>
    </xdr:sp>
    <xdr:clientData/>
  </xdr:twoCellAnchor>
  <xdr:oneCellAnchor>
    <xdr:from>
      <xdr:col>9</xdr:col>
      <xdr:colOff>457200</xdr:colOff>
      <xdr:row>28</xdr:row>
      <xdr:rowOff>0</xdr:rowOff>
    </xdr:from>
    <xdr:ext cx="184666" cy="26161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6F0D724-4906-4045-B260-A39DCF37FD64}"/>
            </a:ext>
          </a:extLst>
        </xdr:cNvPr>
        <xdr:cNvSpPr txBox="1"/>
      </xdr:nvSpPr>
      <xdr:spPr>
        <a:xfrm>
          <a:off x="9156700" y="66548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190498</xdr:colOff>
      <xdr:row>27</xdr:row>
      <xdr:rowOff>101600</xdr:rowOff>
    </xdr:from>
    <xdr:to>
      <xdr:col>17</xdr:col>
      <xdr:colOff>807797</xdr:colOff>
      <xdr:row>68</xdr:row>
      <xdr:rowOff>152400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9EF4ED7-271E-CB41-B33C-A5C566F54F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498" y="7010400"/>
          <a:ext cx="14434899" cy="9423400"/>
        </a:xfrm>
        <a:prstGeom prst="rect">
          <a:avLst/>
        </a:prstGeom>
      </xdr:spPr>
    </xdr:pic>
    <xdr:clientData/>
  </xdr:twoCellAnchor>
  <xdr:twoCellAnchor>
    <xdr:from>
      <xdr:col>11</xdr:col>
      <xdr:colOff>419100</xdr:colOff>
      <xdr:row>2</xdr:row>
      <xdr:rowOff>114300</xdr:rowOff>
    </xdr:from>
    <xdr:to>
      <xdr:col>20</xdr:col>
      <xdr:colOff>711200</xdr:colOff>
      <xdr:row>24</xdr:row>
      <xdr:rowOff>203200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2C04222-7063-DD47-8C8B-C105ABA24856}"/>
            </a:ext>
          </a:extLst>
        </xdr:cNvPr>
        <xdr:cNvSpPr txBox="1"/>
      </xdr:nvSpPr>
      <xdr:spPr>
        <a:xfrm>
          <a:off x="9359900" y="571500"/>
          <a:ext cx="7607300" cy="5854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800"/>
            <a:t>Enter the final design radius [R], then</a:t>
          </a:r>
          <a:r>
            <a:rPr lang="en-US" sz="1800" baseline="0"/>
            <a:t> enter a small amount of material [r] that is used for hand finishing to the final shape.</a:t>
          </a:r>
        </a:p>
        <a:p>
          <a:r>
            <a:rPr lang="en-US" sz="1800" baseline="0"/>
            <a:t>Enter the number of steps. It should be a multiple of R+r. The axial step distance is calculated </a:t>
          </a:r>
        </a:p>
        <a:p>
          <a:endParaRPr lang="en-US" sz="1800" baseline="0"/>
        </a:p>
        <a:p>
          <a:r>
            <a:rPr lang="en-US" sz="1800" baseline="0"/>
            <a:t>Axial step distance is contolled by the saddle. </a:t>
          </a:r>
        </a:p>
        <a:p>
          <a:r>
            <a:rPr lang="en-US" sz="1800" baseline="0"/>
            <a:t>Depth step is contolled by the cross slide.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Mike%201%202/Mike/spreadsheets/design%20calculations/design%20and%20tooling.xlsm" TargetMode="External"/><Relationship Id="rId1" Type="http://schemas.openxmlformats.org/officeDocument/2006/relationships/externalLinkPath" Target="/Users/Mike%201%202/Mike/spreadsheets/design%20calculations/design%20and%20tool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en proportions"/>
      <sheetName val="fibonacci"/>
      <sheetName val="taper"/>
      <sheetName val="steps for tapers"/>
      <sheetName val="Steps for radii"/>
      <sheetName val="Steps for radii (2)"/>
      <sheetName val="taps and hole sizes"/>
      <sheetName val="feeds speeds"/>
      <sheetName val="milling dimensions"/>
      <sheetName val="thickness from feeler gage"/>
      <sheetName val="o-ring calcs"/>
      <sheetName val="pythagorean triples"/>
      <sheetName val="significant figure formula"/>
      <sheetName val="slot calcs"/>
      <sheetName val="blue bending jig"/>
    </sheetNames>
    <sheetDataSet>
      <sheetData sheetId="0"/>
      <sheetData sheetId="1"/>
      <sheetData sheetId="2"/>
      <sheetData sheetId="3"/>
      <sheetData sheetId="4"/>
      <sheetData sheetId="5">
        <row r="2">
          <cell r="E2">
            <v>0.33100000000000002</v>
          </cell>
        </row>
        <row r="3">
          <cell r="E3">
            <v>0.5</v>
          </cell>
        </row>
        <row r="4">
          <cell r="E4">
            <v>2.1225000000000001</v>
          </cell>
        </row>
        <row r="5">
          <cell r="E5">
            <v>4.2450000000000001</v>
          </cell>
        </row>
        <row r="6">
          <cell r="E6">
            <v>42</v>
          </cell>
        </row>
        <row r="7">
          <cell r="E7">
            <v>1.4999999999999999E-2</v>
          </cell>
        </row>
        <row r="8">
          <cell r="E8">
            <v>4.2450000000000001</v>
          </cell>
        </row>
        <row r="9">
          <cell r="E9">
            <v>8.4500000000000006E-2</v>
          </cell>
        </row>
        <row r="10">
          <cell r="E10">
            <v>0.10107142857142858</v>
          </cell>
        </row>
        <row r="12">
          <cell r="E12">
            <v>0.53</v>
          </cell>
        </row>
        <row r="13">
          <cell r="E13">
            <v>26.69909171597633</v>
          </cell>
        </row>
      </sheetData>
      <sheetData sheetId="6"/>
      <sheetData sheetId="7"/>
      <sheetData sheetId="8"/>
      <sheetData sheetId="9"/>
      <sheetData sheetId="10"/>
      <sheetData sheetId="11">
        <row r="2">
          <cell r="F2">
            <v>3</v>
          </cell>
        </row>
        <row r="3">
          <cell r="F3">
            <v>2</v>
          </cell>
        </row>
      </sheetData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81772-EEEB-FE40-A1BF-E47AE8F21DF5}">
  <sheetPr>
    <pageSetUpPr fitToPage="1"/>
  </sheetPr>
  <dimension ref="A1:M60"/>
  <sheetViews>
    <sheetView showGridLines="0" tabSelected="1" workbookViewId="0">
      <selection activeCell="F2" sqref="F2"/>
    </sheetView>
  </sheetViews>
  <sheetFormatPr baseColWidth="10" defaultColWidth="10.6640625" defaultRowHeight="18" x14ac:dyDescent="0.15"/>
  <cols>
    <col min="1" max="5" width="15.33203125" style="1" customWidth="1"/>
    <col min="6" max="6" width="11.83203125" style="1" customWidth="1"/>
    <col min="7" max="7" width="10.6640625" style="1" customWidth="1"/>
    <col min="8" max="8" width="10.6640625" style="1"/>
    <col min="9" max="9" width="4.33203125" style="1" customWidth="1"/>
    <col min="10" max="16384" width="10.6640625" style="1"/>
  </cols>
  <sheetData>
    <row r="1" spans="1:13" x14ac:dyDescent="0.15">
      <c r="A1" s="1" t="s">
        <v>0</v>
      </c>
    </row>
    <row r="2" spans="1:13" x14ac:dyDescent="0.15">
      <c r="A2" s="16" t="s">
        <v>17</v>
      </c>
      <c r="B2" s="16"/>
      <c r="C2" s="16"/>
      <c r="D2" s="16" t="s">
        <v>18</v>
      </c>
      <c r="E2" s="17">
        <v>0.33100000000000002</v>
      </c>
      <c r="F2" s="18"/>
    </row>
    <row r="3" spans="1:13" x14ac:dyDescent="0.15">
      <c r="A3" s="19" t="s">
        <v>19</v>
      </c>
      <c r="B3" s="19"/>
      <c r="C3" s="19"/>
      <c r="D3" s="19" t="s">
        <v>20</v>
      </c>
      <c r="E3" s="20">
        <v>0.5</v>
      </c>
      <c r="F3" s="18"/>
    </row>
    <row r="4" spans="1:13" x14ac:dyDescent="0.15">
      <c r="A4" s="19" t="s">
        <v>21</v>
      </c>
      <c r="B4" s="19"/>
      <c r="C4" s="19"/>
      <c r="D4" s="19" t="s">
        <v>22</v>
      </c>
      <c r="E4" s="21">
        <f>Cact/2</f>
        <v>2.1225000000000001</v>
      </c>
      <c r="F4" s="18" t="s">
        <v>23</v>
      </c>
    </row>
    <row r="5" spans="1:13" x14ac:dyDescent="0.15">
      <c r="A5" s="19" t="s">
        <v>24</v>
      </c>
      <c r="B5" s="19"/>
      <c r="C5" s="19"/>
      <c r="D5" s="19" t="s">
        <v>25</v>
      </c>
      <c r="E5" s="21">
        <v>4.2450000000000001</v>
      </c>
      <c r="F5" s="18"/>
    </row>
    <row r="6" spans="1:13" x14ac:dyDescent="0.15">
      <c r="A6" s="19" t="s">
        <v>26</v>
      </c>
      <c r="B6" s="19"/>
      <c r="C6" s="19"/>
      <c r="D6" s="19" t="s">
        <v>6</v>
      </c>
      <c r="E6" s="21">
        <v>42</v>
      </c>
      <c r="H6" s="22" t="s">
        <v>27</v>
      </c>
      <c r="I6" s="23">
        <f>Cact/0.1</f>
        <v>42.449999999999996</v>
      </c>
      <c r="J6" s="1" t="s">
        <v>28</v>
      </c>
    </row>
    <row r="7" spans="1:13" x14ac:dyDescent="0.15">
      <c r="A7" s="19" t="s">
        <v>29</v>
      </c>
      <c r="B7" s="19"/>
      <c r="C7" s="19"/>
      <c r="D7" s="19" t="s">
        <v>30</v>
      </c>
      <c r="E7" s="20">
        <v>1.4999999999999999E-2</v>
      </c>
      <c r="F7" s="1" t="s">
        <v>31</v>
      </c>
      <c r="G7" s="1" t="s">
        <v>32</v>
      </c>
    </row>
    <row r="8" spans="1:13" x14ac:dyDescent="0.15">
      <c r="A8" s="19" t="s">
        <v>33</v>
      </c>
      <c r="B8" s="19"/>
      <c r="C8" s="19"/>
      <c r="D8" s="19" t="s">
        <v>34</v>
      </c>
      <c r="E8" s="24">
        <f>CODmax*2</f>
        <v>4.2450000000000001</v>
      </c>
    </row>
    <row r="9" spans="1:13" x14ac:dyDescent="0.15">
      <c r="A9" s="19" t="s">
        <v>35</v>
      </c>
      <c r="B9" s="19"/>
      <c r="C9" s="19"/>
      <c r="D9" s="19" t="s">
        <v>36</v>
      </c>
      <c r="E9" s="19">
        <f>ROUND(((maxdia+offset)-(DIAM1+offset))/2,4)</f>
        <v>8.4500000000000006E-2</v>
      </c>
    </row>
    <row r="10" spans="1:13" x14ac:dyDescent="0.15">
      <c r="A10" s="19" t="s">
        <v>37</v>
      </c>
      <c r="B10" s="19"/>
      <c r="C10" s="19"/>
      <c r="D10" s="19" t="s">
        <v>38</v>
      </c>
      <c r="E10" s="24">
        <f>Cact/steps</f>
        <v>0.10107142857142858</v>
      </c>
      <c r="F10" s="25"/>
    </row>
    <row r="11" spans="1:13" x14ac:dyDescent="0.15">
      <c r="A11" s="19" t="s">
        <v>39</v>
      </c>
      <c r="B11" s="19"/>
      <c r="C11" s="19"/>
      <c r="D11" s="19" t="s">
        <v>40</v>
      </c>
      <c r="E11" s="24">
        <f>DIAM1+offset*2</f>
        <v>0.36099999999999999</v>
      </c>
      <c r="H11" s="26"/>
    </row>
    <row r="12" spans="1:13" x14ac:dyDescent="0.15">
      <c r="A12" s="19" t="s">
        <v>41</v>
      </c>
      <c r="B12" s="19"/>
      <c r="C12" s="19"/>
      <c r="D12" s="19" t="s">
        <v>42</v>
      </c>
      <c r="E12" s="24">
        <f>maxdia+2*offset</f>
        <v>0.53</v>
      </c>
    </row>
    <row r="13" spans="1:13" x14ac:dyDescent="0.15">
      <c r="A13" s="19" t="s">
        <v>43</v>
      </c>
      <c r="B13" s="19"/>
      <c r="C13" s="19"/>
      <c r="D13" s="19" t="s">
        <v>44</v>
      </c>
      <c r="E13" s="24">
        <f>(C_^2+(4*h^2))/(8*h)</f>
        <v>26.69909171597633</v>
      </c>
    </row>
    <row r="14" spans="1:13" x14ac:dyDescent="0.15">
      <c r="A14" s="27" t="s">
        <v>45</v>
      </c>
    </row>
    <row r="15" spans="1:13" ht="38" x14ac:dyDescent="0.15">
      <c r="A15" s="6" t="s">
        <v>46</v>
      </c>
      <c r="B15" s="28" t="s">
        <v>47</v>
      </c>
      <c r="C15" s="8" t="s">
        <v>48</v>
      </c>
      <c r="D15" s="6" t="s">
        <v>49</v>
      </c>
      <c r="E15" s="9" t="s">
        <v>50</v>
      </c>
      <c r="F15" s="8" t="s">
        <v>51</v>
      </c>
      <c r="H15" s="10"/>
      <c r="I15" s="10"/>
      <c r="J15" s="10"/>
      <c r="K15" s="10"/>
      <c r="L15" s="10"/>
      <c r="M15" s="11"/>
    </row>
    <row r="16" spans="1:13" x14ac:dyDescent="0.15">
      <c r="A16" s="6">
        <v>0</v>
      </c>
      <c r="B16" s="29">
        <f>IF(A16&gt;steps,"",step_d)</f>
        <v>0.10107142857142858</v>
      </c>
      <c r="C16" s="13">
        <f>IF(A16&gt;steps,"",C_/2)</f>
        <v>2.1225000000000001</v>
      </c>
      <c r="D16" s="13">
        <f>SQRT(radius^2-C16^2)</f>
        <v>26.614591715976331</v>
      </c>
      <c r="E16" s="14">
        <f>(Odmaj-(radius-D16)*2)</f>
        <v>0.3610000000000031</v>
      </c>
      <c r="F16" s="15">
        <f>(Odmaj-E16)/2</f>
        <v>8.4499999999998465E-2</v>
      </c>
      <c r="H16" s="10"/>
      <c r="I16" s="10"/>
      <c r="J16" s="10"/>
      <c r="K16" s="10"/>
      <c r="L16" s="10"/>
      <c r="M16" s="11"/>
    </row>
    <row r="17" spans="1:13" x14ac:dyDescent="0.15">
      <c r="A17" s="6">
        <f>A16+1</f>
        <v>1</v>
      </c>
      <c r="B17" s="30">
        <f t="shared" ref="B17:B59" si="0">IF(A17&gt;steps,"",step_d*A17)</f>
        <v>0.10107142857142858</v>
      </c>
      <c r="C17" s="13">
        <f>IF(A17&gt;steps,"",C_/2-step_d*A17)</f>
        <v>2.0214285714285714</v>
      </c>
      <c r="D17" s="13">
        <f t="shared" ref="D17:D55" si="1">IF(A17&gt;steps,"",SQRT(radius^2-C17^2))</f>
        <v>26.622459033468868</v>
      </c>
      <c r="E17" s="14">
        <f t="shared" ref="E17:E55" si="2">IF(A17&gt;steps,"",(Odmaj-(radius-D17)*2))</f>
        <v>0.37673463498507576</v>
      </c>
      <c r="F17" s="15">
        <f t="shared" ref="F17:F55" si="3">IF(A17&gt;steps,"",(Odmaj-E17)/2)</f>
        <v>7.6632682507462135E-2</v>
      </c>
      <c r="H17" s="31"/>
      <c r="I17" s="31"/>
      <c r="J17" s="31"/>
      <c r="K17" s="11"/>
      <c r="L17" s="11"/>
      <c r="M17" s="11"/>
    </row>
    <row r="18" spans="1:13" x14ac:dyDescent="0.15">
      <c r="A18" s="6">
        <f t="shared" ref="A18:A59" si="4">A17+1</f>
        <v>2</v>
      </c>
      <c r="B18" s="30">
        <f t="shared" si="0"/>
        <v>0.20214285714285715</v>
      </c>
      <c r="C18" s="13">
        <f t="shared" ref="C18:C55" si="5">IF(A18&gt;steps,"",C_/2-step_d*A18)</f>
        <v>1.9203571428571429</v>
      </c>
      <c r="D18" s="13">
        <f t="shared" si="1"/>
        <v>26.62994042242666</v>
      </c>
      <c r="E18" s="14">
        <f t="shared" si="2"/>
        <v>0.39169741290066074</v>
      </c>
      <c r="F18" s="15">
        <f t="shared" si="3"/>
        <v>6.9151293549669646E-2</v>
      </c>
      <c r="H18" s="31"/>
      <c r="I18" s="31"/>
      <c r="J18" s="31"/>
      <c r="K18" s="11"/>
      <c r="L18" s="11"/>
      <c r="M18" s="11"/>
    </row>
    <row r="19" spans="1:13" x14ac:dyDescent="0.15">
      <c r="A19" s="6">
        <f t="shared" si="4"/>
        <v>3</v>
      </c>
      <c r="B19" s="30">
        <f t="shared" si="0"/>
        <v>0.30321428571428571</v>
      </c>
      <c r="C19" s="13">
        <f t="shared" si="5"/>
        <v>1.8192857142857144</v>
      </c>
      <c r="D19" s="13">
        <f t="shared" si="1"/>
        <v>26.637036208030196</v>
      </c>
      <c r="E19" s="14">
        <f t="shared" si="2"/>
        <v>0.405888984107732</v>
      </c>
      <c r="F19" s="15">
        <f t="shared" si="3"/>
        <v>6.2055507946134014E-2</v>
      </c>
      <c r="H19" s="31"/>
      <c r="I19" s="31"/>
      <c r="J19" s="31"/>
      <c r="K19" s="11"/>
      <c r="L19" s="11"/>
      <c r="M19" s="11"/>
    </row>
    <row r="20" spans="1:13" x14ac:dyDescent="0.15">
      <c r="A20" s="6">
        <f t="shared" si="4"/>
        <v>4</v>
      </c>
      <c r="B20" s="30">
        <f t="shared" si="0"/>
        <v>0.4042857142857143</v>
      </c>
      <c r="C20" s="13">
        <f t="shared" si="5"/>
        <v>1.7182142857142857</v>
      </c>
      <c r="D20" s="13">
        <f t="shared" si="1"/>
        <v>26.643746698362136</v>
      </c>
      <c r="E20" s="14">
        <f t="shared" si="2"/>
        <v>0.41930996477161275</v>
      </c>
      <c r="F20" s="15">
        <f t="shared" si="3"/>
        <v>5.5345017614193637E-2</v>
      </c>
      <c r="H20" s="31"/>
      <c r="I20" s="31"/>
      <c r="J20" s="31"/>
      <c r="K20" s="11"/>
      <c r="L20" s="11"/>
      <c r="M20" s="11"/>
    </row>
    <row r="21" spans="1:13" x14ac:dyDescent="0.15">
      <c r="A21" s="6">
        <f t="shared" si="4"/>
        <v>5</v>
      </c>
      <c r="B21" s="30">
        <f t="shared" si="0"/>
        <v>0.50535714285714284</v>
      </c>
      <c r="C21" s="13">
        <f t="shared" si="5"/>
        <v>1.6171428571428572</v>
      </c>
      <c r="D21" s="13">
        <f t="shared" si="1"/>
        <v>26.65007218447462</v>
      </c>
      <c r="E21" s="14">
        <f t="shared" si="2"/>
        <v>0.43196093699658067</v>
      </c>
      <c r="F21" s="15">
        <f t="shared" si="3"/>
        <v>4.9019531501709679E-2</v>
      </c>
      <c r="H21" s="31"/>
      <c r="I21" s="31"/>
      <c r="J21" s="31"/>
      <c r="K21" s="11"/>
      <c r="L21" s="11"/>
      <c r="M21" s="11"/>
    </row>
    <row r="22" spans="1:13" x14ac:dyDescent="0.15">
      <c r="A22" s="6">
        <f t="shared" si="4"/>
        <v>6</v>
      </c>
      <c r="B22" s="30">
        <f t="shared" si="0"/>
        <v>0.60642857142857143</v>
      </c>
      <c r="C22" s="13">
        <f t="shared" si="5"/>
        <v>1.5160714285714287</v>
      </c>
      <c r="D22" s="13">
        <f t="shared" si="1"/>
        <v>26.656012940452765</v>
      </c>
      <c r="E22" s="14">
        <f t="shared" si="2"/>
        <v>0.44384244895287028</v>
      </c>
      <c r="F22" s="15">
        <f t="shared" si="3"/>
        <v>4.3078775523564872E-2</v>
      </c>
      <c r="H22" s="31"/>
      <c r="I22" s="31"/>
      <c r="J22" s="31"/>
      <c r="K22" s="11"/>
      <c r="L22" s="11"/>
      <c r="M22" s="11"/>
    </row>
    <row r="23" spans="1:13" x14ac:dyDescent="0.15">
      <c r="A23" s="6">
        <f t="shared" si="4"/>
        <v>7</v>
      </c>
      <c r="B23" s="30">
        <f t="shared" si="0"/>
        <v>0.70750000000000002</v>
      </c>
      <c r="C23" s="13">
        <f t="shared" si="5"/>
        <v>1.415</v>
      </c>
      <c r="D23" s="13">
        <f t="shared" si="1"/>
        <v>26.661569223474373</v>
      </c>
      <c r="E23" s="14">
        <f t="shared" si="2"/>
        <v>0.45495501499608682</v>
      </c>
      <c r="F23" s="15">
        <f t="shared" si="3"/>
        <v>3.7522492501956606E-2</v>
      </c>
      <c r="H23" s="31"/>
      <c r="I23" s="31"/>
      <c r="J23" s="31"/>
      <c r="K23" s="11"/>
      <c r="L23" s="11"/>
      <c r="M23" s="11"/>
    </row>
    <row r="24" spans="1:13" x14ac:dyDescent="0.15">
      <c r="A24" s="6">
        <f t="shared" si="4"/>
        <v>8</v>
      </c>
      <c r="B24" s="30">
        <f t="shared" si="0"/>
        <v>0.80857142857142861</v>
      </c>
      <c r="C24" s="13">
        <f t="shared" si="5"/>
        <v>1.3139285714285713</v>
      </c>
      <c r="D24" s="13">
        <f t="shared" si="1"/>
        <v>26.666741273865831</v>
      </c>
      <c r="E24" s="14">
        <f t="shared" si="2"/>
        <v>0.46529911577900296</v>
      </c>
      <c r="F24" s="15">
        <f t="shared" si="3"/>
        <v>3.2350442110498534E-2</v>
      </c>
      <c r="H24" s="31"/>
      <c r="I24" s="31"/>
      <c r="J24" s="31"/>
      <c r="K24" s="11"/>
      <c r="L24" s="11"/>
      <c r="M24" s="11"/>
    </row>
    <row r="25" spans="1:13" x14ac:dyDescent="0.15">
      <c r="A25" s="6">
        <f t="shared" si="4"/>
        <v>9</v>
      </c>
      <c r="B25" s="30">
        <f t="shared" si="0"/>
        <v>0.9096428571428572</v>
      </c>
      <c r="C25" s="13">
        <f t="shared" si="5"/>
        <v>1.2128571428571429</v>
      </c>
      <c r="D25" s="13">
        <f t="shared" si="1"/>
        <v>26.67152931515432</v>
      </c>
      <c r="E25" s="14">
        <f t="shared" si="2"/>
        <v>0.47487519835598024</v>
      </c>
      <c r="F25" s="15">
        <f t="shared" si="3"/>
        <v>2.7562400822009891E-2</v>
      </c>
      <c r="H25" s="31"/>
      <c r="I25" s="31"/>
      <c r="J25" s="31"/>
      <c r="K25" s="11"/>
      <c r="L25" s="11"/>
      <c r="M25" s="11"/>
    </row>
    <row r="26" spans="1:13" x14ac:dyDescent="0.15">
      <c r="A26" s="6">
        <f t="shared" si="4"/>
        <v>10</v>
      </c>
      <c r="B26" s="30">
        <f t="shared" si="0"/>
        <v>1.0107142857142857</v>
      </c>
      <c r="C26" s="13">
        <f t="shared" si="5"/>
        <v>1.1117857142857144</v>
      </c>
      <c r="D26" s="13">
        <f t="shared" si="1"/>
        <v>26.675933554116266</v>
      </c>
      <c r="E26" s="14">
        <f t="shared" si="2"/>
        <v>0.48368367627987285</v>
      </c>
      <c r="F26" s="15">
        <f t="shared" si="3"/>
        <v>2.3158161860063586E-2</v>
      </c>
      <c r="H26" s="31"/>
      <c r="I26" s="31"/>
      <c r="J26" s="31"/>
      <c r="K26" s="11"/>
      <c r="L26" s="11"/>
      <c r="M26" s="11"/>
    </row>
    <row r="27" spans="1:13" x14ac:dyDescent="0.15">
      <c r="A27" s="6">
        <f t="shared" si="4"/>
        <v>11</v>
      </c>
      <c r="B27" s="30">
        <f t="shared" si="0"/>
        <v>1.1117857142857144</v>
      </c>
      <c r="C27" s="13">
        <f t="shared" si="5"/>
        <v>1.0107142857142857</v>
      </c>
      <c r="D27" s="13">
        <f t="shared" si="1"/>
        <v>26.679954180822143</v>
      </c>
      <c r="E27" s="14">
        <f t="shared" si="2"/>
        <v>0.49172492969162707</v>
      </c>
      <c r="F27" s="15">
        <f t="shared" si="3"/>
        <v>1.913753515418648E-2</v>
      </c>
      <c r="H27" s="31"/>
      <c r="I27" s="31"/>
      <c r="J27" s="31"/>
      <c r="K27" s="11"/>
      <c r="L27" s="11"/>
      <c r="M27" s="11"/>
    </row>
    <row r="28" spans="1:13" x14ac:dyDescent="0.15">
      <c r="A28" s="6">
        <f t="shared" si="4"/>
        <v>12</v>
      </c>
      <c r="B28" s="30">
        <f t="shared" si="0"/>
        <v>1.2128571428571429</v>
      </c>
      <c r="C28" s="13">
        <f t="shared" si="5"/>
        <v>0.9096428571428572</v>
      </c>
      <c r="D28" s="13">
        <f t="shared" si="1"/>
        <v>26.683591368677583</v>
      </c>
      <c r="E28" s="14">
        <f t="shared" si="2"/>
        <v>0.49899930540250526</v>
      </c>
      <c r="F28" s="15">
        <f t="shared" si="3"/>
        <v>1.5500347298747386E-2</v>
      </c>
      <c r="H28" s="31" t="s">
        <v>52</v>
      </c>
      <c r="I28" s="31"/>
      <c r="J28" s="31"/>
      <c r="K28" s="11"/>
      <c r="L28" s="11"/>
      <c r="M28" s="11"/>
    </row>
    <row r="29" spans="1:13" x14ac:dyDescent="0.15">
      <c r="A29" s="6">
        <f t="shared" si="4"/>
        <v>13</v>
      </c>
      <c r="B29" s="30">
        <f t="shared" si="0"/>
        <v>1.3139285714285716</v>
      </c>
      <c r="C29" s="13">
        <f t="shared" si="5"/>
        <v>0.8085714285714285</v>
      </c>
      <c r="D29" s="13">
        <f t="shared" si="1"/>
        <v>26.686845274460858</v>
      </c>
      <c r="E29" s="14">
        <f t="shared" si="2"/>
        <v>0.50550711696905526</v>
      </c>
      <c r="F29" s="15">
        <f t="shared" si="3"/>
        <v>1.2246441515472384E-2</v>
      </c>
      <c r="H29" s="31"/>
      <c r="I29" s="31"/>
      <c r="J29" s="31"/>
      <c r="K29" s="11"/>
      <c r="L29" s="11"/>
      <c r="M29" s="11"/>
    </row>
    <row r="30" spans="1:13" x14ac:dyDescent="0.15">
      <c r="A30" s="6">
        <f t="shared" si="4"/>
        <v>14</v>
      </c>
      <c r="B30" s="30">
        <f t="shared" si="0"/>
        <v>1.415</v>
      </c>
      <c r="C30" s="13">
        <f t="shared" si="5"/>
        <v>0.70750000000000002</v>
      </c>
      <c r="D30" s="13">
        <f t="shared" si="1"/>
        <v>26.689716038356718</v>
      </c>
      <c r="E30" s="14">
        <f t="shared" si="2"/>
        <v>0.51124864476077536</v>
      </c>
      <c r="F30" s="15">
        <f t="shared" si="3"/>
        <v>9.3756776196123326E-3</v>
      </c>
      <c r="H30" s="31"/>
      <c r="I30" s="31"/>
      <c r="J30" s="31"/>
      <c r="K30" s="11"/>
      <c r="L30" s="11"/>
      <c r="M30" s="11"/>
    </row>
    <row r="31" spans="1:13" x14ac:dyDescent="0.15">
      <c r="A31" s="6">
        <f t="shared" si="4"/>
        <v>15</v>
      </c>
      <c r="B31" s="30">
        <f t="shared" si="0"/>
        <v>1.5160714285714287</v>
      </c>
      <c r="C31" s="13">
        <f t="shared" si="5"/>
        <v>0.60642857142857132</v>
      </c>
      <c r="D31" s="13">
        <f t="shared" si="1"/>
        <v>26.692203783986646</v>
      </c>
      <c r="E31" s="14">
        <f t="shared" si="2"/>
        <v>0.51622413602063122</v>
      </c>
      <c r="F31" s="15">
        <f t="shared" si="3"/>
        <v>6.8879319896844038E-3</v>
      </c>
      <c r="H31" s="31"/>
      <c r="I31"/>
      <c r="J31" s="31"/>
      <c r="K31" s="11"/>
      <c r="L31" s="11"/>
      <c r="M31" s="11"/>
    </row>
    <row r="32" spans="1:13" x14ac:dyDescent="0.15">
      <c r="A32" s="6">
        <f t="shared" si="4"/>
        <v>16</v>
      </c>
      <c r="B32" s="30">
        <f t="shared" si="0"/>
        <v>1.6171428571428572</v>
      </c>
      <c r="C32" s="13">
        <f t="shared" si="5"/>
        <v>0.50535714285714284</v>
      </c>
      <c r="D32" s="13">
        <f t="shared" si="1"/>
        <v>26.694308618435489</v>
      </c>
      <c r="E32" s="14">
        <f t="shared" si="2"/>
        <v>0.52043380491831814</v>
      </c>
      <c r="F32" s="15">
        <f t="shared" si="3"/>
        <v>4.7830975408409415E-3</v>
      </c>
      <c r="H32" s="31"/>
      <c r="I32"/>
      <c r="J32" s="31"/>
      <c r="K32" s="11"/>
      <c r="L32" s="11"/>
      <c r="M32" s="11"/>
    </row>
    <row r="33" spans="1:13" x14ac:dyDescent="0.15">
      <c r="A33" s="6">
        <f t="shared" si="4"/>
        <v>17</v>
      </c>
      <c r="B33" s="30">
        <f t="shared" si="0"/>
        <v>1.7182142857142857</v>
      </c>
      <c r="C33" s="13">
        <f t="shared" si="5"/>
        <v>0.40428571428571436</v>
      </c>
      <c r="D33" s="13">
        <f t="shared" si="1"/>
        <v>26.696030632274535</v>
      </c>
      <c r="E33" s="14">
        <f t="shared" si="2"/>
        <v>0.52387783259641085</v>
      </c>
      <c r="F33" s="15">
        <f t="shared" si="3"/>
        <v>3.0610837017945869E-3</v>
      </c>
      <c r="H33" s="31"/>
      <c r="I33" s="31"/>
      <c r="J33" s="31"/>
      <c r="K33" s="11"/>
      <c r="L33" s="11"/>
      <c r="M33" s="11"/>
    </row>
    <row r="34" spans="1:13" x14ac:dyDescent="0.15">
      <c r="A34" s="6">
        <f t="shared" si="4"/>
        <v>18</v>
      </c>
      <c r="B34" s="30">
        <f t="shared" si="0"/>
        <v>1.8192857142857144</v>
      </c>
      <c r="C34" s="13">
        <f t="shared" si="5"/>
        <v>0.30321428571428566</v>
      </c>
      <c r="D34" s="13">
        <f t="shared" si="1"/>
        <v>26.69736989958102</v>
      </c>
      <c r="E34" s="14">
        <f t="shared" si="2"/>
        <v>0.52655636720937937</v>
      </c>
      <c r="F34" s="15">
        <f t="shared" si="3"/>
        <v>1.7218163953103272E-3</v>
      </c>
      <c r="H34" s="31"/>
      <c r="I34" s="31"/>
      <c r="J34" s="31"/>
      <c r="K34" s="11"/>
      <c r="L34" s="31"/>
      <c r="M34" s="31"/>
    </row>
    <row r="35" spans="1:13" x14ac:dyDescent="0.15">
      <c r="A35" s="6">
        <f t="shared" si="4"/>
        <v>19</v>
      </c>
      <c r="B35" s="30">
        <f t="shared" si="0"/>
        <v>1.9203571428571429</v>
      </c>
      <c r="C35" s="13">
        <f t="shared" si="5"/>
        <v>0.20214285714285718</v>
      </c>
      <c r="D35" s="13">
        <f t="shared" si="1"/>
        <v>26.698326477954044</v>
      </c>
      <c r="E35" s="14">
        <f t="shared" si="2"/>
        <v>0.52846952395542846</v>
      </c>
      <c r="F35" s="15">
        <f t="shared" si="3"/>
        <v>7.6523802228578575E-4</v>
      </c>
      <c r="H35" s="31"/>
      <c r="I35" s="31"/>
    </row>
    <row r="36" spans="1:13" x14ac:dyDescent="0.15">
      <c r="A36" s="6">
        <f t="shared" si="4"/>
        <v>20</v>
      </c>
      <c r="B36" s="30">
        <f t="shared" si="0"/>
        <v>2.0214285714285714</v>
      </c>
      <c r="C36" s="13">
        <f t="shared" si="5"/>
        <v>0.1010714285714287</v>
      </c>
      <c r="D36" s="13">
        <f t="shared" si="1"/>
        <v>26.698900408526985</v>
      </c>
      <c r="E36" s="14">
        <f t="shared" si="2"/>
        <v>0.52961738510130973</v>
      </c>
      <c r="F36" s="15">
        <f t="shared" si="3"/>
        <v>1.913074493451461E-4</v>
      </c>
      <c r="G36" s="31"/>
      <c r="H36" s="31"/>
      <c r="I36" s="31"/>
    </row>
    <row r="37" spans="1:13" x14ac:dyDescent="0.15">
      <c r="A37" s="6">
        <f t="shared" si="4"/>
        <v>21</v>
      </c>
      <c r="B37" s="30">
        <f t="shared" si="0"/>
        <v>2.1225000000000001</v>
      </c>
      <c r="C37" s="13">
        <f t="shared" si="5"/>
        <v>0</v>
      </c>
      <c r="D37" s="13">
        <f t="shared" si="1"/>
        <v>26.69909171597633</v>
      </c>
      <c r="E37" s="14">
        <f t="shared" si="2"/>
        <v>0.53</v>
      </c>
      <c r="F37" s="15">
        <f t="shared" si="3"/>
        <v>0</v>
      </c>
    </row>
    <row r="38" spans="1:13" x14ac:dyDescent="0.15">
      <c r="A38" s="6">
        <f t="shared" si="4"/>
        <v>22</v>
      </c>
      <c r="B38" s="30">
        <f t="shared" si="0"/>
        <v>2.2235714285714288</v>
      </c>
      <c r="C38" s="13">
        <f t="shared" si="5"/>
        <v>-0.1010714285714287</v>
      </c>
      <c r="D38" s="13">
        <f t="shared" si="1"/>
        <v>26.698900408526985</v>
      </c>
      <c r="E38" s="14">
        <f t="shared" si="2"/>
        <v>0.52961738510130973</v>
      </c>
      <c r="F38" s="15">
        <f t="shared" si="3"/>
        <v>1.913074493451461E-4</v>
      </c>
    </row>
    <row r="39" spans="1:13" x14ac:dyDescent="0.15">
      <c r="A39" s="6">
        <f t="shared" si="4"/>
        <v>23</v>
      </c>
      <c r="B39" s="30">
        <f t="shared" si="0"/>
        <v>2.3246428571428575</v>
      </c>
      <c r="C39" s="13">
        <f t="shared" si="5"/>
        <v>-0.2021428571428574</v>
      </c>
      <c r="D39" s="13">
        <f t="shared" si="1"/>
        <v>26.698326477954044</v>
      </c>
      <c r="E39" s="14">
        <f t="shared" si="2"/>
        <v>0.52846952395542846</v>
      </c>
      <c r="F39" s="15">
        <f t="shared" si="3"/>
        <v>7.6523802228578575E-4</v>
      </c>
    </row>
    <row r="40" spans="1:13" x14ac:dyDescent="0.15">
      <c r="A40" s="6">
        <f t="shared" si="4"/>
        <v>24</v>
      </c>
      <c r="B40" s="30">
        <f t="shared" si="0"/>
        <v>2.4257142857142857</v>
      </c>
      <c r="C40" s="13">
        <f t="shared" si="5"/>
        <v>-0.30321428571428566</v>
      </c>
      <c r="D40" s="13">
        <f t="shared" si="1"/>
        <v>26.69736989958102</v>
      </c>
      <c r="E40" s="14">
        <f t="shared" si="2"/>
        <v>0.52655636720937937</v>
      </c>
      <c r="F40" s="15">
        <f t="shared" si="3"/>
        <v>1.7218163953103272E-3</v>
      </c>
    </row>
    <row r="41" spans="1:13" x14ac:dyDescent="0.15">
      <c r="A41" s="6">
        <f t="shared" si="4"/>
        <v>25</v>
      </c>
      <c r="B41" s="30">
        <f t="shared" si="0"/>
        <v>2.5267857142857144</v>
      </c>
      <c r="C41" s="13">
        <f t="shared" si="5"/>
        <v>-0.40428571428571436</v>
      </c>
      <c r="D41" s="13">
        <f t="shared" si="1"/>
        <v>26.696030632274535</v>
      </c>
      <c r="E41" s="14">
        <f t="shared" si="2"/>
        <v>0.52387783259641085</v>
      </c>
      <c r="F41" s="15">
        <f t="shared" si="3"/>
        <v>3.0610837017945869E-3</v>
      </c>
    </row>
    <row r="42" spans="1:13" x14ac:dyDescent="0.15">
      <c r="A42" s="6">
        <f t="shared" si="4"/>
        <v>26</v>
      </c>
      <c r="B42" s="30">
        <f t="shared" si="0"/>
        <v>2.6278571428571431</v>
      </c>
      <c r="C42" s="13">
        <f t="shared" si="5"/>
        <v>-0.50535714285714306</v>
      </c>
      <c r="D42" s="13">
        <f t="shared" si="1"/>
        <v>26.694308618435489</v>
      </c>
      <c r="E42" s="14">
        <f t="shared" si="2"/>
        <v>0.52043380491831814</v>
      </c>
      <c r="F42" s="15">
        <f t="shared" si="3"/>
        <v>4.7830975408409415E-3</v>
      </c>
    </row>
    <row r="43" spans="1:13" x14ac:dyDescent="0.15">
      <c r="A43" s="6">
        <f t="shared" si="4"/>
        <v>27</v>
      </c>
      <c r="B43" s="30">
        <f t="shared" si="0"/>
        <v>2.7289285714285714</v>
      </c>
      <c r="C43" s="13">
        <f t="shared" si="5"/>
        <v>-0.60642857142857132</v>
      </c>
      <c r="D43" s="13">
        <f t="shared" si="1"/>
        <v>26.692203783986646</v>
      </c>
      <c r="E43" s="14">
        <f t="shared" si="2"/>
        <v>0.51622413602063122</v>
      </c>
      <c r="F43" s="15">
        <f t="shared" si="3"/>
        <v>6.8879319896844038E-3</v>
      </c>
    </row>
    <row r="44" spans="1:13" x14ac:dyDescent="0.15">
      <c r="A44" s="6">
        <f t="shared" si="4"/>
        <v>28</v>
      </c>
      <c r="B44" s="30">
        <f t="shared" si="0"/>
        <v>2.83</v>
      </c>
      <c r="C44" s="13">
        <f t="shared" si="5"/>
        <v>-0.70750000000000002</v>
      </c>
      <c r="D44" s="13">
        <f t="shared" si="1"/>
        <v>26.689716038356718</v>
      </c>
      <c r="E44" s="14">
        <f t="shared" si="2"/>
        <v>0.51124864476077536</v>
      </c>
      <c r="F44" s="15">
        <f t="shared" si="3"/>
        <v>9.3756776196123326E-3</v>
      </c>
    </row>
    <row r="45" spans="1:13" x14ac:dyDescent="0.15">
      <c r="A45" s="6">
        <f t="shared" si="4"/>
        <v>29</v>
      </c>
      <c r="B45" s="30">
        <f t="shared" si="0"/>
        <v>2.9310714285714288</v>
      </c>
      <c r="C45" s="13">
        <f t="shared" si="5"/>
        <v>-0.80857142857142872</v>
      </c>
      <c r="D45" s="13">
        <f t="shared" si="1"/>
        <v>26.686845274460858</v>
      </c>
      <c r="E45" s="14">
        <f t="shared" si="2"/>
        <v>0.50550711696905526</v>
      </c>
      <c r="F45" s="15">
        <f t="shared" si="3"/>
        <v>1.2246441515472384E-2</v>
      </c>
    </row>
    <row r="46" spans="1:13" x14ac:dyDescent="0.15">
      <c r="A46" s="6">
        <f t="shared" si="4"/>
        <v>30</v>
      </c>
      <c r="B46" s="30">
        <f t="shared" si="0"/>
        <v>3.0321428571428575</v>
      </c>
      <c r="C46" s="13">
        <f t="shared" si="5"/>
        <v>-0.90964285714285742</v>
      </c>
      <c r="D46" s="13">
        <f t="shared" si="1"/>
        <v>26.683591368677583</v>
      </c>
      <c r="E46" s="14">
        <f t="shared" si="2"/>
        <v>0.49899930540250526</v>
      </c>
      <c r="F46" s="15">
        <f t="shared" si="3"/>
        <v>1.5500347298747386E-2</v>
      </c>
    </row>
    <row r="47" spans="1:13" x14ac:dyDescent="0.15">
      <c r="A47" s="6">
        <f t="shared" si="4"/>
        <v>31</v>
      </c>
      <c r="B47" s="30">
        <f t="shared" si="0"/>
        <v>3.1332142857142857</v>
      </c>
      <c r="C47" s="13">
        <f t="shared" si="5"/>
        <v>-1.0107142857142857</v>
      </c>
      <c r="D47" s="13">
        <f t="shared" si="1"/>
        <v>26.679954180822143</v>
      </c>
      <c r="E47" s="14">
        <f t="shared" si="2"/>
        <v>0.49172492969162707</v>
      </c>
      <c r="F47" s="15">
        <f t="shared" si="3"/>
        <v>1.913753515418648E-2</v>
      </c>
    </row>
    <row r="48" spans="1:13" x14ac:dyDescent="0.15">
      <c r="A48" s="6">
        <f t="shared" si="4"/>
        <v>32</v>
      </c>
      <c r="B48" s="30">
        <f t="shared" si="0"/>
        <v>3.2342857142857144</v>
      </c>
      <c r="C48" s="13">
        <f t="shared" si="5"/>
        <v>-1.1117857142857144</v>
      </c>
      <c r="D48" s="13">
        <f t="shared" si="1"/>
        <v>26.675933554116266</v>
      </c>
      <c r="E48" s="14">
        <f t="shared" si="2"/>
        <v>0.48368367627987285</v>
      </c>
      <c r="F48" s="15">
        <f t="shared" si="3"/>
        <v>2.3158161860063586E-2</v>
      </c>
    </row>
    <row r="49" spans="1:6" x14ac:dyDescent="0.15">
      <c r="A49" s="6">
        <f t="shared" si="4"/>
        <v>33</v>
      </c>
      <c r="B49" s="30">
        <f t="shared" si="0"/>
        <v>3.3353571428571431</v>
      </c>
      <c r="C49" s="13">
        <f t="shared" si="5"/>
        <v>-1.2128571428571431</v>
      </c>
      <c r="D49" s="13">
        <f t="shared" si="1"/>
        <v>26.67152931515432</v>
      </c>
      <c r="E49" s="14">
        <f t="shared" si="2"/>
        <v>0.47487519835598024</v>
      </c>
      <c r="F49" s="15">
        <f t="shared" si="3"/>
        <v>2.7562400822009891E-2</v>
      </c>
    </row>
    <row r="50" spans="1:6" x14ac:dyDescent="0.15">
      <c r="A50" s="6">
        <f t="shared" si="4"/>
        <v>34</v>
      </c>
      <c r="B50" s="30">
        <f t="shared" si="0"/>
        <v>3.4364285714285714</v>
      </c>
      <c r="C50" s="13">
        <f t="shared" si="5"/>
        <v>-1.3139285714285713</v>
      </c>
      <c r="D50" s="13">
        <f t="shared" si="1"/>
        <v>26.666741273865831</v>
      </c>
      <c r="E50" s="14">
        <f t="shared" si="2"/>
        <v>0.46529911577900296</v>
      </c>
      <c r="F50" s="15">
        <f t="shared" si="3"/>
        <v>3.2350442110498534E-2</v>
      </c>
    </row>
    <row r="51" spans="1:6" x14ac:dyDescent="0.15">
      <c r="A51" s="6">
        <f t="shared" si="4"/>
        <v>35</v>
      </c>
      <c r="B51" s="30">
        <f t="shared" si="0"/>
        <v>3.5375000000000001</v>
      </c>
      <c r="C51" s="13">
        <f t="shared" si="5"/>
        <v>-1.415</v>
      </c>
      <c r="D51" s="13">
        <f t="shared" si="1"/>
        <v>26.661569223474373</v>
      </c>
      <c r="E51" s="14">
        <f t="shared" si="2"/>
        <v>0.45495501499608682</v>
      </c>
      <c r="F51" s="15">
        <f t="shared" si="3"/>
        <v>3.7522492501956606E-2</v>
      </c>
    </row>
    <row r="52" spans="1:6" x14ac:dyDescent="0.15">
      <c r="A52" s="6">
        <f t="shared" si="4"/>
        <v>36</v>
      </c>
      <c r="B52" s="30">
        <f t="shared" si="0"/>
        <v>3.6385714285714288</v>
      </c>
      <c r="C52" s="13">
        <f t="shared" si="5"/>
        <v>-1.5160714285714287</v>
      </c>
      <c r="D52" s="13">
        <f t="shared" si="1"/>
        <v>26.656012940452765</v>
      </c>
      <c r="E52" s="14">
        <f t="shared" si="2"/>
        <v>0.44384244895287028</v>
      </c>
      <c r="F52" s="15">
        <f t="shared" si="3"/>
        <v>4.3078775523564872E-2</v>
      </c>
    </row>
    <row r="53" spans="1:6" x14ac:dyDescent="0.15">
      <c r="A53" s="6">
        <f t="shared" si="4"/>
        <v>37</v>
      </c>
      <c r="B53" s="30">
        <f t="shared" si="0"/>
        <v>3.7396428571428575</v>
      </c>
      <c r="C53" s="13">
        <f t="shared" si="5"/>
        <v>-1.6171428571428574</v>
      </c>
      <c r="D53" s="13">
        <f t="shared" si="1"/>
        <v>26.65007218447462</v>
      </c>
      <c r="E53" s="14">
        <f t="shared" si="2"/>
        <v>0.43196093699658067</v>
      </c>
      <c r="F53" s="15">
        <f t="shared" si="3"/>
        <v>4.9019531501709679E-2</v>
      </c>
    </row>
    <row r="54" spans="1:6" x14ac:dyDescent="0.15">
      <c r="A54" s="6">
        <f t="shared" si="4"/>
        <v>38</v>
      </c>
      <c r="B54" s="30">
        <f t="shared" si="0"/>
        <v>3.8407142857142857</v>
      </c>
      <c r="C54" s="13">
        <f t="shared" si="5"/>
        <v>-1.7182142857142857</v>
      </c>
      <c r="D54" s="13">
        <f t="shared" si="1"/>
        <v>26.643746698362136</v>
      </c>
      <c r="E54" s="14">
        <f t="shared" si="2"/>
        <v>0.41930996477161275</v>
      </c>
      <c r="F54" s="15">
        <f t="shared" si="3"/>
        <v>5.5345017614193637E-2</v>
      </c>
    </row>
    <row r="55" spans="1:6" x14ac:dyDescent="0.15">
      <c r="A55" s="6">
        <f t="shared" si="4"/>
        <v>39</v>
      </c>
      <c r="B55" s="30">
        <f t="shared" si="0"/>
        <v>3.9417857142857144</v>
      </c>
      <c r="C55" s="13">
        <f t="shared" si="5"/>
        <v>-1.8192857142857144</v>
      </c>
      <c r="D55" s="13">
        <f t="shared" si="1"/>
        <v>26.637036208030196</v>
      </c>
      <c r="E55" s="14">
        <f t="shared" si="2"/>
        <v>0.405888984107732</v>
      </c>
      <c r="F55" s="15">
        <f t="shared" si="3"/>
        <v>6.2055507946134014E-2</v>
      </c>
    </row>
    <row r="56" spans="1:6" x14ac:dyDescent="0.15">
      <c r="A56" s="6">
        <f t="shared" si="4"/>
        <v>40</v>
      </c>
      <c r="B56" s="30">
        <f t="shared" si="0"/>
        <v>4.0428571428571427</v>
      </c>
      <c r="C56" s="13">
        <f>IF(A56&gt;steps,"",C_/2-step_d*A56)</f>
        <v>-1.9203571428571427</v>
      </c>
      <c r="D56" s="13">
        <f>IF(A56&gt;steps,"",SQRT(radius^2-C56^2))</f>
        <v>26.62994042242666</v>
      </c>
      <c r="E56" s="14">
        <f>IF(A56&gt;steps,"",(Odmaj-(radius-D56)*2))</f>
        <v>0.39169741290066074</v>
      </c>
      <c r="F56" s="15">
        <f>IF(A56&gt;steps,"",(Odmaj-E56)/2)</f>
        <v>6.9151293549669646E-2</v>
      </c>
    </row>
    <row r="57" spans="1:6" x14ac:dyDescent="0.15">
      <c r="A57" s="6">
        <f t="shared" si="4"/>
        <v>41</v>
      </c>
      <c r="B57" s="30">
        <f t="shared" si="0"/>
        <v>4.1439285714285718</v>
      </c>
      <c r="C57" s="13">
        <f>IF(A57&gt;steps,"",C_/2-step_d*A57)</f>
        <v>-2.0214285714285718</v>
      </c>
      <c r="D57" s="13">
        <f>IF(A57&gt;steps,"",SQRT(radius^2-C57^2))</f>
        <v>26.622459033468868</v>
      </c>
      <c r="E57" s="14">
        <f>IF(A57&gt;steps,"",(Odmaj-(radius-D57)*2))</f>
        <v>0.37673463498507576</v>
      </c>
      <c r="F57" s="15">
        <f>IF(A57&gt;steps,"",(Odmaj-E57)/2)</f>
        <v>7.6632682507462135E-2</v>
      </c>
    </row>
    <row r="58" spans="1:6" x14ac:dyDescent="0.15">
      <c r="A58" s="6">
        <f t="shared" si="4"/>
        <v>42</v>
      </c>
      <c r="B58" s="30">
        <f t="shared" si="0"/>
        <v>4.2450000000000001</v>
      </c>
      <c r="C58" s="13">
        <f>IF(A58&gt;steps,"",C_/2-step_d*A58)</f>
        <v>-2.1225000000000001</v>
      </c>
      <c r="D58" s="13">
        <f>IF(A58&gt;steps,"",SQRT(radius^2-C58^2))</f>
        <v>26.614591715976331</v>
      </c>
      <c r="E58" s="14">
        <f>IF(A58&gt;steps,"",(Odmaj-(radius-D58)*2))</f>
        <v>0.3610000000000031</v>
      </c>
      <c r="F58" s="15">
        <f>IF(A58&gt;steps,"",(Odmaj-E58)/2)</f>
        <v>8.4499999999998465E-2</v>
      </c>
    </row>
    <row r="59" spans="1:6" x14ac:dyDescent="0.15">
      <c r="A59" s="6">
        <f t="shared" si="4"/>
        <v>43</v>
      </c>
      <c r="B59" s="30" t="str">
        <f t="shared" si="0"/>
        <v/>
      </c>
      <c r="C59" s="13" t="str">
        <f>IF(A59&gt;steps,"",C_/2-step_d*A59)</f>
        <v/>
      </c>
      <c r="D59" s="13" t="str">
        <f>IF(A59&gt;steps,"",SQRT(radius^2-C59^2))</f>
        <v/>
      </c>
      <c r="E59" s="14" t="str">
        <f>IF(A59&gt;steps,"",(Odmaj-(radius-D59)*2))</f>
        <v/>
      </c>
      <c r="F59" s="15" t="str">
        <f>IF(A59&gt;steps,"",(Odmaj-E59)/2)</f>
        <v/>
      </c>
    </row>
    <row r="60" spans="1:6" x14ac:dyDescent="0.15">
      <c r="A60" s="6">
        <f>A59+1</f>
        <v>44</v>
      </c>
      <c r="B60" s="30" t="str">
        <f>IF(A60&gt;steps,"",step_d*A60)</f>
        <v/>
      </c>
      <c r="C60" s="13" t="str">
        <f>IF(A60&gt;steps,"",C_/2-step_d*A60)</f>
        <v/>
      </c>
      <c r="D60" s="13" t="str">
        <f>IF(A60&gt;steps,"",SQRT(radius^2-C60^2))</f>
        <v/>
      </c>
      <c r="E60" s="14" t="str">
        <f>IF(A60&gt;steps,"",(Odmaj-(radius-D60)*2))</f>
        <v/>
      </c>
      <c r="F60" s="15" t="str">
        <f>IF(A60&gt;steps,"",(Odmaj-E60)/2)</f>
        <v/>
      </c>
    </row>
  </sheetData>
  <pageMargins left="0.25" right="0.25" top="0.5" bottom="0.75" header="0.5" footer="0.5"/>
  <pageSetup scale="64" orientation="portrait" horizontalDpi="4294967292" verticalDpi="4294967292"/>
  <headerFooter>
    <oddFooter>&amp;L&amp;K000000&amp;D @ &amp;T&amp;C&amp;K000000&amp;P/&amp;N&amp;R&amp;K000000&amp;Z&amp;F_x000D_&amp;A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BB02E-73B9-FF4F-9083-52E6E3EFAC76}">
  <dimension ref="A1:M27"/>
  <sheetViews>
    <sheetView showGridLines="0" workbookViewId="0">
      <selection activeCell="J3" sqref="J3"/>
    </sheetView>
  </sheetViews>
  <sheetFormatPr baseColWidth="10" defaultColWidth="10.6640625" defaultRowHeight="18" x14ac:dyDescent="0.15"/>
  <cols>
    <col min="1" max="16384" width="10.6640625" style="1"/>
  </cols>
  <sheetData>
    <row r="1" spans="1:13" x14ac:dyDescent="0.15">
      <c r="A1" s="1" t="s">
        <v>0</v>
      </c>
    </row>
    <row r="2" spans="1:13" x14ac:dyDescent="0.15">
      <c r="A2" s="1" t="s">
        <v>1</v>
      </c>
      <c r="D2" s="2">
        <f>0.57/2</f>
        <v>0.28499999999999998</v>
      </c>
    </row>
    <row r="3" spans="1:13" ht="39" customHeight="1" x14ac:dyDescent="0.15">
      <c r="A3" s="3" t="s">
        <v>2</v>
      </c>
      <c r="B3" s="3"/>
      <c r="C3" s="3"/>
      <c r="D3" s="2">
        <v>0.01</v>
      </c>
      <c r="G3" s="1">
        <f>D2+D3</f>
        <v>0.29499999999999998</v>
      </c>
    </row>
    <row r="4" spans="1:13" ht="35" customHeight="1" x14ac:dyDescent="0.15">
      <c r="A4" s="4" t="s">
        <v>3</v>
      </c>
      <c r="B4" s="4"/>
      <c r="C4" s="4"/>
      <c r="D4" s="5">
        <f>(D2+D3)/D5</f>
        <v>2.9499999999999998E-2</v>
      </c>
    </row>
    <row r="5" spans="1:13" x14ac:dyDescent="0.15">
      <c r="A5" s="1" t="s">
        <v>4</v>
      </c>
      <c r="D5" s="2">
        <v>10</v>
      </c>
    </row>
    <row r="6" spans="1:13" x14ac:dyDescent="0.15">
      <c r="A6" s="5" t="s">
        <v>5</v>
      </c>
      <c r="B6" s="5"/>
      <c r="C6" s="5"/>
      <c r="D6" s="5">
        <f>D2+D3</f>
        <v>0.29499999999999998</v>
      </c>
    </row>
    <row r="7" spans="1:13" ht="38" x14ac:dyDescent="0.15">
      <c r="A7" s="6" t="s">
        <v>6</v>
      </c>
      <c r="B7" s="7" t="s">
        <v>7</v>
      </c>
      <c r="C7" s="8" t="s">
        <v>8</v>
      </c>
      <c r="D7" s="8" t="s">
        <v>9</v>
      </c>
      <c r="E7" s="8" t="s">
        <v>10</v>
      </c>
      <c r="F7" s="8" t="s">
        <v>11</v>
      </c>
      <c r="G7" s="8" t="s">
        <v>12</v>
      </c>
      <c r="H7" s="8" t="s">
        <v>13</v>
      </c>
      <c r="I7" s="8" t="s">
        <v>14</v>
      </c>
      <c r="J7" s="9" t="s">
        <v>15</v>
      </c>
      <c r="K7" s="8" t="s">
        <v>16</v>
      </c>
      <c r="L7" s="10"/>
      <c r="M7" s="11"/>
    </row>
    <row r="8" spans="1:13" x14ac:dyDescent="0.15">
      <c r="A8" s="6">
        <v>1</v>
      </c>
      <c r="B8" s="12">
        <f>D4</f>
        <v>2.9499999999999998E-2</v>
      </c>
      <c r="C8" s="13">
        <f>ACOS(B8/(D6))</f>
        <v>1.4706289056333368</v>
      </c>
      <c r="D8" s="13">
        <f>C8*180/PI()</f>
        <v>84.260829522733218</v>
      </c>
      <c r="E8" s="13">
        <f>ASIN(B8/(D6))</f>
        <v>0.1001674211615598</v>
      </c>
      <c r="F8" s="13">
        <f>E8*180/PI()</f>
        <v>5.7391704772667866</v>
      </c>
      <c r="G8" s="13">
        <f>2*$D$6*SIN(E8/2)</f>
        <v>2.9537037285293135E-2</v>
      </c>
      <c r="H8" s="13">
        <f>(PI()-E8)/2</f>
        <v>1.5207126162141167</v>
      </c>
      <c r="I8" s="13">
        <f>H8*180/PI()</f>
        <v>87.130414761366609</v>
      </c>
      <c r="J8" s="14">
        <f>G8*COS(H8)</f>
        <v>1.4787060535471144E-3</v>
      </c>
      <c r="K8" s="15">
        <f>($G$3-2*J8)*2</f>
        <v>0.58408517578581154</v>
      </c>
      <c r="L8" s="11"/>
      <c r="M8" s="11"/>
    </row>
    <row r="9" spans="1:13" x14ac:dyDescent="0.15">
      <c r="A9" s="6">
        <v>2</v>
      </c>
      <c r="B9" s="12">
        <f t="shared" ref="B9:B27" si="0">IF(A9&gt;$D$5,"",B8+$D$4)</f>
        <v>5.8999999999999997E-2</v>
      </c>
      <c r="C9" s="13">
        <f t="shared" ref="C9:C27" si="1">ACOS(B9/($D$2+$D$3))</f>
        <v>1.3694384060045657</v>
      </c>
      <c r="D9" s="13">
        <f t="shared" ref="D9:D27" si="2">C9*180/PI()</f>
        <v>78.463040967184497</v>
      </c>
      <c r="E9" s="13">
        <f t="shared" ref="E9:E27" si="3">ASIN(B9/($D$2+$D$3))</f>
        <v>0.20135792079033082</v>
      </c>
      <c r="F9" s="13">
        <f t="shared" ref="F9:F27" si="4">E9*180/PI()</f>
        <v>11.53695903281549</v>
      </c>
      <c r="G9" s="13">
        <f>2*$D$6*SIN(E9/2)</f>
        <v>5.9300287583072826E-2</v>
      </c>
      <c r="H9" s="13">
        <f>(PI()-E9)/2</f>
        <v>1.4701173663997311</v>
      </c>
      <c r="I9" s="13">
        <f t="shared" ref="I9:I27" si="5">H9*180/PI()</f>
        <v>84.231520483592263</v>
      </c>
      <c r="J9" s="14">
        <f>G9*COS(H9)-J8</f>
        <v>4.4815042980378772E-3</v>
      </c>
      <c r="K9" s="15">
        <f t="shared" ref="K9:K27" si="6">($G$3-2*J9)*2</f>
        <v>0.57207398280784849</v>
      </c>
      <c r="L9" s="11"/>
      <c r="M9" s="11"/>
    </row>
    <row r="10" spans="1:13" x14ac:dyDescent="0.15">
      <c r="A10" s="6">
        <v>3</v>
      </c>
      <c r="B10" s="12">
        <f t="shared" si="0"/>
        <v>8.8499999999999995E-2</v>
      </c>
      <c r="C10" s="13">
        <f t="shared" si="1"/>
        <v>1.266103672779499</v>
      </c>
      <c r="D10" s="13">
        <f t="shared" si="2"/>
        <v>72.542396876277905</v>
      </c>
      <c r="E10" s="13">
        <f t="shared" si="3"/>
        <v>0.30469265401539752</v>
      </c>
      <c r="F10" s="13">
        <f t="shared" si="4"/>
        <v>17.457603123722095</v>
      </c>
      <c r="G10" s="13">
        <f>2*$D$6*SIN(E10/2)</f>
        <v>8.9537042576693412E-2</v>
      </c>
      <c r="H10" s="13">
        <f>(PI()-E10)/2</f>
        <v>1.4184499997871978</v>
      </c>
      <c r="I10" s="13">
        <f t="shared" si="5"/>
        <v>81.271198438138953</v>
      </c>
      <c r="J10" s="14">
        <f>G10*COS(H10)-J9-J8</f>
        <v>7.6277252304160492E-3</v>
      </c>
      <c r="K10" s="15">
        <f t="shared" si="6"/>
        <v>0.55948909907833577</v>
      </c>
      <c r="L10" s="11"/>
      <c r="M10" s="11"/>
    </row>
    <row r="11" spans="1:13" x14ac:dyDescent="0.15">
      <c r="A11" s="6">
        <v>4</v>
      </c>
      <c r="B11" s="12">
        <f t="shared" si="0"/>
        <v>0.11799999999999999</v>
      </c>
      <c r="C11" s="13">
        <f t="shared" si="1"/>
        <v>1.1592794807274085</v>
      </c>
      <c r="D11" s="13">
        <f t="shared" si="2"/>
        <v>66.421821521798165</v>
      </c>
      <c r="E11" s="13">
        <f t="shared" si="3"/>
        <v>0.41151684606748801</v>
      </c>
      <c r="F11" s="13">
        <f t="shared" si="4"/>
        <v>23.578178478201831</v>
      </c>
      <c r="G11" s="13">
        <f>2*$D$6*SIN(E11/2)</f>
        <v>0.12054268977663975</v>
      </c>
      <c r="H11" s="13">
        <f>(PI()-E11)/2</f>
        <v>1.3650379037611526</v>
      </c>
      <c r="I11" s="13">
        <f t="shared" si="5"/>
        <v>78.210910760899083</v>
      </c>
      <c r="J11" s="14">
        <f>G11*COS(H11)-J10-J9-J8</f>
        <v>1.1040098415604396E-2</v>
      </c>
      <c r="K11" s="15">
        <f t="shared" si="6"/>
        <v>0.54583960633758233</v>
      </c>
      <c r="L11" s="11"/>
      <c r="M11" s="11"/>
    </row>
    <row r="12" spans="1:13" x14ac:dyDescent="0.15">
      <c r="A12" s="6">
        <v>5</v>
      </c>
      <c r="B12" s="12">
        <f t="shared" si="0"/>
        <v>0.14749999999999999</v>
      </c>
      <c r="C12" s="13">
        <f t="shared" si="1"/>
        <v>1.0471975511965976</v>
      </c>
      <c r="D12" s="13">
        <f t="shared" si="2"/>
        <v>59.999999999999993</v>
      </c>
      <c r="E12" s="13">
        <f t="shared" si="3"/>
        <v>0.52359877559829893</v>
      </c>
      <c r="F12" s="13">
        <f t="shared" si="4"/>
        <v>30.000000000000004</v>
      </c>
      <c r="G12" s="13">
        <f t="shared" ref="G12:G27" si="7">2*$D$6*SIN(E12/2)</f>
        <v>0.15270323661048726</v>
      </c>
      <c r="H12" s="13">
        <f t="shared" ref="H12:H27" si="8">(PI()-E12)/2</f>
        <v>1.308996938995747</v>
      </c>
      <c r="I12" s="13">
        <f t="shared" si="5"/>
        <v>74.999999999999986</v>
      </c>
      <c r="J12" s="14">
        <f>G12*COS(H12)-SUM($J$8:J11)</f>
        <v>1.4894471885985194E-2</v>
      </c>
      <c r="K12" s="15">
        <f t="shared" si="6"/>
        <v>0.53042211245605919</v>
      </c>
      <c r="L12" s="11"/>
      <c r="M12" s="11"/>
    </row>
    <row r="13" spans="1:13" x14ac:dyDescent="0.15">
      <c r="A13" s="6">
        <v>6</v>
      </c>
      <c r="B13" s="12">
        <f t="shared" si="0"/>
        <v>0.17699999999999999</v>
      </c>
      <c r="C13" s="13">
        <f t="shared" si="1"/>
        <v>0.92729521800161219</v>
      </c>
      <c r="D13" s="13">
        <f t="shared" si="2"/>
        <v>53.13010235415598</v>
      </c>
      <c r="E13" s="13">
        <f t="shared" si="3"/>
        <v>0.64350110879328437</v>
      </c>
      <c r="F13" s="13">
        <f t="shared" si="4"/>
        <v>36.86989764584402</v>
      </c>
      <c r="G13" s="13">
        <f t="shared" si="7"/>
        <v>0.18657438194993436</v>
      </c>
      <c r="H13" s="13">
        <f t="shared" si="8"/>
        <v>1.2490457723982544</v>
      </c>
      <c r="I13" s="13">
        <f t="shared" si="5"/>
        <v>71.56505117707799</v>
      </c>
      <c r="J13" s="14">
        <f>G13*COS(H13)-SUM($J$8:J12)</f>
        <v>1.9477494116409366E-2</v>
      </c>
      <c r="K13" s="15">
        <f t="shared" si="6"/>
        <v>0.5120900235343625</v>
      </c>
      <c r="L13" s="11"/>
      <c r="M13" s="11"/>
    </row>
    <row r="14" spans="1:13" x14ac:dyDescent="0.15">
      <c r="A14" s="6">
        <v>7</v>
      </c>
      <c r="B14" s="12">
        <f t="shared" si="0"/>
        <v>0.20649999999999999</v>
      </c>
      <c r="C14" s="13">
        <f t="shared" si="1"/>
        <v>0.79539883018414348</v>
      </c>
      <c r="D14" s="13">
        <f t="shared" si="2"/>
        <v>45.572995999194291</v>
      </c>
      <c r="E14" s="13">
        <f t="shared" si="3"/>
        <v>0.77539749661075308</v>
      </c>
      <c r="F14" s="13">
        <f t="shared" si="4"/>
        <v>44.427004000805702</v>
      </c>
      <c r="G14" s="13">
        <f t="shared" si="7"/>
        <v>0.22305478744293228</v>
      </c>
      <c r="H14" s="13">
        <f t="shared" si="8"/>
        <v>1.1830975784895199</v>
      </c>
      <c r="I14" s="13">
        <f t="shared" si="5"/>
        <v>67.786497999597131</v>
      </c>
      <c r="J14" s="14">
        <f>G14*COS(H14)-SUM($J$8:J13)</f>
        <v>2.5327861357985967E-2</v>
      </c>
      <c r="K14" s="15">
        <f t="shared" si="6"/>
        <v>0.4886885545680561</v>
      </c>
      <c r="L14" s="11"/>
      <c r="M14" s="11"/>
    </row>
    <row r="15" spans="1:13" x14ac:dyDescent="0.15">
      <c r="A15" s="6">
        <v>8</v>
      </c>
      <c r="B15" s="12">
        <f t="shared" si="0"/>
        <v>0.23599999999999999</v>
      </c>
      <c r="C15" s="13">
        <f t="shared" si="1"/>
        <v>0.64350110879328426</v>
      </c>
      <c r="D15" s="13">
        <f t="shared" si="2"/>
        <v>36.869897645844013</v>
      </c>
      <c r="E15" s="13">
        <f t="shared" si="3"/>
        <v>0.9272952180016123</v>
      </c>
      <c r="F15" s="13">
        <f t="shared" si="4"/>
        <v>53.13010235415598</v>
      </c>
      <c r="G15" s="13">
        <f t="shared" si="7"/>
        <v>0.26385602134497521</v>
      </c>
      <c r="H15" s="13">
        <f t="shared" si="8"/>
        <v>1.1071487177940904</v>
      </c>
      <c r="I15" s="13">
        <f t="shared" si="5"/>
        <v>63.43494882292201</v>
      </c>
      <c r="J15" s="14">
        <f>G15*COS(H15)-SUM($J$8:J14)</f>
        <v>3.3672138642014071E-2</v>
      </c>
      <c r="K15" s="15">
        <f t="shared" si="6"/>
        <v>0.45531144543194368</v>
      </c>
      <c r="L15" s="11"/>
      <c r="M15" s="11"/>
    </row>
    <row r="16" spans="1:13" x14ac:dyDescent="0.15">
      <c r="A16" s="6">
        <v>9</v>
      </c>
      <c r="B16" s="12">
        <f t="shared" si="0"/>
        <v>0.26549999999999996</v>
      </c>
      <c r="C16" s="13">
        <f t="shared" si="1"/>
        <v>0.45102681179626258</v>
      </c>
      <c r="D16" s="13">
        <f t="shared" si="2"/>
        <v>25.84193276316714</v>
      </c>
      <c r="E16" s="13">
        <f t="shared" si="3"/>
        <v>1.119769514998634</v>
      </c>
      <c r="F16" s="13">
        <f t="shared" si="4"/>
        <v>64.158067236832864</v>
      </c>
      <c r="G16" s="13">
        <f t="shared" si="7"/>
        <v>0.31334224721169429</v>
      </c>
      <c r="H16" s="13">
        <f t="shared" si="8"/>
        <v>1.0109115692955797</v>
      </c>
      <c r="I16" s="13">
        <f t="shared" si="5"/>
        <v>57.920966381583575</v>
      </c>
      <c r="J16" s="14">
        <f>G16*COS(H16)-SUM($J$8:J15)</f>
        <v>4.8412481165550011E-2</v>
      </c>
      <c r="K16" s="15">
        <f t="shared" si="6"/>
        <v>0.39635007533779992</v>
      </c>
      <c r="L16" s="11"/>
      <c r="M16" s="11"/>
    </row>
    <row r="17" spans="1:13" x14ac:dyDescent="0.15">
      <c r="A17" s="6">
        <v>10</v>
      </c>
      <c r="B17" s="12">
        <f t="shared" si="0"/>
        <v>0.29499999999999993</v>
      </c>
      <c r="C17" s="13">
        <f t="shared" si="1"/>
        <v>2.1073424116835326E-8</v>
      </c>
      <c r="D17" s="13">
        <f t="shared" si="2"/>
        <v>1.2074182617838684E-6</v>
      </c>
      <c r="E17" s="13">
        <f t="shared" si="3"/>
        <v>1.5707963057214724</v>
      </c>
      <c r="F17" s="13">
        <f t="shared" si="4"/>
        <v>89.999998792581735</v>
      </c>
      <c r="G17" s="13">
        <f t="shared" si="7"/>
        <v>0.41719299650422043</v>
      </c>
      <c r="H17" s="13">
        <f t="shared" si="8"/>
        <v>0.78539817393416034</v>
      </c>
      <c r="I17" s="13">
        <f t="shared" si="5"/>
        <v>45.000000603709125</v>
      </c>
      <c r="J17" s="14">
        <f>G17*COS(H17)-SUM($J$8:J16)</f>
        <v>0.12858751261778981</v>
      </c>
      <c r="K17" s="15">
        <f t="shared" si="6"/>
        <v>7.5649949528840743E-2</v>
      </c>
      <c r="L17" s="11"/>
      <c r="M17" s="11"/>
    </row>
    <row r="18" spans="1:13" x14ac:dyDescent="0.15">
      <c r="A18" s="6">
        <v>11</v>
      </c>
      <c r="B18" s="13" t="str">
        <f t="shared" si="0"/>
        <v/>
      </c>
      <c r="C18" s="13" t="e">
        <f t="shared" si="1"/>
        <v>#VALUE!</v>
      </c>
      <c r="D18" s="13" t="e">
        <f t="shared" si="2"/>
        <v>#VALUE!</v>
      </c>
      <c r="E18" s="13" t="e">
        <f t="shared" si="3"/>
        <v>#VALUE!</v>
      </c>
      <c r="F18" s="13" t="e">
        <f t="shared" si="4"/>
        <v>#VALUE!</v>
      </c>
      <c r="G18" s="13" t="e">
        <f t="shared" si="7"/>
        <v>#VALUE!</v>
      </c>
      <c r="H18" s="13" t="e">
        <f t="shared" si="8"/>
        <v>#VALUE!</v>
      </c>
      <c r="I18" s="13" t="e">
        <f t="shared" si="5"/>
        <v>#VALUE!</v>
      </c>
      <c r="J18" s="14" t="e">
        <f>G18*COS(H18)-SUM($J$8:J17)</f>
        <v>#VALUE!</v>
      </c>
      <c r="K18" s="15" t="e">
        <f t="shared" si="6"/>
        <v>#VALUE!</v>
      </c>
      <c r="L18" s="11"/>
      <c r="M18" s="11"/>
    </row>
    <row r="19" spans="1:13" x14ac:dyDescent="0.15">
      <c r="A19" s="6">
        <v>12</v>
      </c>
      <c r="B19" s="13" t="str">
        <f t="shared" si="0"/>
        <v/>
      </c>
      <c r="C19" s="13" t="e">
        <f t="shared" si="1"/>
        <v>#VALUE!</v>
      </c>
      <c r="D19" s="13" t="e">
        <f t="shared" si="2"/>
        <v>#VALUE!</v>
      </c>
      <c r="E19" s="13" t="e">
        <f t="shared" si="3"/>
        <v>#VALUE!</v>
      </c>
      <c r="F19" s="13" t="e">
        <f t="shared" si="4"/>
        <v>#VALUE!</v>
      </c>
      <c r="G19" s="13" t="e">
        <f t="shared" si="7"/>
        <v>#VALUE!</v>
      </c>
      <c r="H19" s="13" t="e">
        <f t="shared" si="8"/>
        <v>#VALUE!</v>
      </c>
      <c r="I19" s="13" t="e">
        <f t="shared" si="5"/>
        <v>#VALUE!</v>
      </c>
      <c r="J19" s="14" t="e">
        <f>G19*COS(H19)-SUM($J$8:J18)</f>
        <v>#VALUE!</v>
      </c>
      <c r="K19" s="15" t="e">
        <f t="shared" si="6"/>
        <v>#VALUE!</v>
      </c>
      <c r="L19" s="11"/>
      <c r="M19" s="11"/>
    </row>
    <row r="20" spans="1:13" x14ac:dyDescent="0.15">
      <c r="A20" s="6">
        <v>13</v>
      </c>
      <c r="B20" s="13" t="str">
        <f t="shared" si="0"/>
        <v/>
      </c>
      <c r="C20" s="13" t="e">
        <f t="shared" si="1"/>
        <v>#VALUE!</v>
      </c>
      <c r="D20" s="13" t="e">
        <f t="shared" si="2"/>
        <v>#VALUE!</v>
      </c>
      <c r="E20" s="13" t="e">
        <f t="shared" si="3"/>
        <v>#VALUE!</v>
      </c>
      <c r="F20" s="13" t="e">
        <f t="shared" si="4"/>
        <v>#VALUE!</v>
      </c>
      <c r="G20" s="13" t="e">
        <f t="shared" si="7"/>
        <v>#VALUE!</v>
      </c>
      <c r="H20" s="13" t="e">
        <f t="shared" si="8"/>
        <v>#VALUE!</v>
      </c>
      <c r="I20" s="13" t="e">
        <f t="shared" si="5"/>
        <v>#VALUE!</v>
      </c>
      <c r="J20" s="14" t="e">
        <f>G20*COS(H20)-SUM($J$8:J19)</f>
        <v>#VALUE!</v>
      </c>
      <c r="K20" s="15" t="e">
        <f t="shared" si="6"/>
        <v>#VALUE!</v>
      </c>
      <c r="L20" s="11"/>
      <c r="M20" s="11"/>
    </row>
    <row r="21" spans="1:13" x14ac:dyDescent="0.15">
      <c r="A21" s="6">
        <v>14</v>
      </c>
      <c r="B21" s="13" t="str">
        <f t="shared" si="0"/>
        <v/>
      </c>
      <c r="C21" s="13" t="e">
        <f t="shared" si="1"/>
        <v>#VALUE!</v>
      </c>
      <c r="D21" s="13" t="e">
        <f t="shared" si="2"/>
        <v>#VALUE!</v>
      </c>
      <c r="E21" s="13" t="e">
        <f t="shared" si="3"/>
        <v>#VALUE!</v>
      </c>
      <c r="F21" s="13" t="e">
        <f t="shared" si="4"/>
        <v>#VALUE!</v>
      </c>
      <c r="G21" s="13" t="e">
        <f t="shared" si="7"/>
        <v>#VALUE!</v>
      </c>
      <c r="H21" s="13" t="e">
        <f t="shared" si="8"/>
        <v>#VALUE!</v>
      </c>
      <c r="I21" s="13" t="e">
        <f t="shared" si="5"/>
        <v>#VALUE!</v>
      </c>
      <c r="J21" s="14" t="e">
        <f>G21*COS(H21)-SUM($J$8:J20)</f>
        <v>#VALUE!</v>
      </c>
      <c r="K21" s="15" t="e">
        <f t="shared" si="6"/>
        <v>#VALUE!</v>
      </c>
      <c r="L21" s="11"/>
      <c r="M21" s="11"/>
    </row>
    <row r="22" spans="1:13" x14ac:dyDescent="0.15">
      <c r="A22" s="6">
        <v>15</v>
      </c>
      <c r="B22" s="13" t="str">
        <f t="shared" si="0"/>
        <v/>
      </c>
      <c r="C22" s="13" t="e">
        <f t="shared" si="1"/>
        <v>#VALUE!</v>
      </c>
      <c r="D22" s="13" t="e">
        <f t="shared" si="2"/>
        <v>#VALUE!</v>
      </c>
      <c r="E22" s="13" t="e">
        <f t="shared" si="3"/>
        <v>#VALUE!</v>
      </c>
      <c r="F22" s="13" t="e">
        <f t="shared" si="4"/>
        <v>#VALUE!</v>
      </c>
      <c r="G22" s="13" t="e">
        <f t="shared" si="7"/>
        <v>#VALUE!</v>
      </c>
      <c r="H22" s="13" t="e">
        <f t="shared" si="8"/>
        <v>#VALUE!</v>
      </c>
      <c r="I22" s="13" t="e">
        <f t="shared" si="5"/>
        <v>#VALUE!</v>
      </c>
      <c r="J22" s="14" t="e">
        <f>G22*COS(H22)-SUM($J$8:J21)</f>
        <v>#VALUE!</v>
      </c>
      <c r="K22" s="15" t="e">
        <f t="shared" si="6"/>
        <v>#VALUE!</v>
      </c>
      <c r="L22" s="11"/>
      <c r="M22" s="11"/>
    </row>
    <row r="23" spans="1:13" x14ac:dyDescent="0.15">
      <c r="A23" s="6">
        <v>16</v>
      </c>
      <c r="B23" s="13" t="str">
        <f t="shared" si="0"/>
        <v/>
      </c>
      <c r="C23" s="13" t="e">
        <f t="shared" si="1"/>
        <v>#VALUE!</v>
      </c>
      <c r="D23" s="13" t="e">
        <f t="shared" si="2"/>
        <v>#VALUE!</v>
      </c>
      <c r="E23" s="13" t="e">
        <f t="shared" si="3"/>
        <v>#VALUE!</v>
      </c>
      <c r="F23" s="13" t="e">
        <f t="shared" si="4"/>
        <v>#VALUE!</v>
      </c>
      <c r="G23" s="13" t="e">
        <f t="shared" si="7"/>
        <v>#VALUE!</v>
      </c>
      <c r="H23" s="13" t="e">
        <f t="shared" si="8"/>
        <v>#VALUE!</v>
      </c>
      <c r="I23" s="13" t="e">
        <f t="shared" si="5"/>
        <v>#VALUE!</v>
      </c>
      <c r="J23" s="14" t="e">
        <f>G23*COS(H23)-SUM($J$8:J22)</f>
        <v>#VALUE!</v>
      </c>
      <c r="K23" s="15" t="e">
        <f t="shared" si="6"/>
        <v>#VALUE!</v>
      </c>
      <c r="L23" s="11"/>
      <c r="M23" s="11"/>
    </row>
    <row r="24" spans="1:13" x14ac:dyDescent="0.15">
      <c r="A24" s="6">
        <v>17</v>
      </c>
      <c r="B24" s="13" t="str">
        <f t="shared" si="0"/>
        <v/>
      </c>
      <c r="C24" s="13" t="e">
        <f t="shared" si="1"/>
        <v>#VALUE!</v>
      </c>
      <c r="D24" s="13" t="e">
        <f t="shared" si="2"/>
        <v>#VALUE!</v>
      </c>
      <c r="E24" s="13" t="e">
        <f t="shared" si="3"/>
        <v>#VALUE!</v>
      </c>
      <c r="F24" s="13" t="e">
        <f t="shared" si="4"/>
        <v>#VALUE!</v>
      </c>
      <c r="G24" s="13" t="e">
        <f t="shared" si="7"/>
        <v>#VALUE!</v>
      </c>
      <c r="H24" s="13" t="e">
        <f t="shared" si="8"/>
        <v>#VALUE!</v>
      </c>
      <c r="I24" s="13" t="e">
        <f t="shared" si="5"/>
        <v>#VALUE!</v>
      </c>
      <c r="J24" s="14" t="e">
        <f>G24*COS(H24)-SUM($J$8:J23)</f>
        <v>#VALUE!</v>
      </c>
      <c r="K24" s="15" t="e">
        <f t="shared" si="6"/>
        <v>#VALUE!</v>
      </c>
      <c r="L24" s="11"/>
      <c r="M24" s="11"/>
    </row>
    <row r="25" spans="1:13" x14ac:dyDescent="0.15">
      <c r="A25" s="6">
        <v>18</v>
      </c>
      <c r="B25" s="13" t="str">
        <f t="shared" si="0"/>
        <v/>
      </c>
      <c r="C25" s="13" t="e">
        <f t="shared" si="1"/>
        <v>#VALUE!</v>
      </c>
      <c r="D25" s="13" t="e">
        <f t="shared" si="2"/>
        <v>#VALUE!</v>
      </c>
      <c r="E25" s="13" t="e">
        <f t="shared" si="3"/>
        <v>#VALUE!</v>
      </c>
      <c r="F25" s="13" t="e">
        <f t="shared" si="4"/>
        <v>#VALUE!</v>
      </c>
      <c r="G25" s="13" t="e">
        <f t="shared" si="7"/>
        <v>#VALUE!</v>
      </c>
      <c r="H25" s="13" t="e">
        <f t="shared" si="8"/>
        <v>#VALUE!</v>
      </c>
      <c r="I25" s="13" t="e">
        <f t="shared" si="5"/>
        <v>#VALUE!</v>
      </c>
      <c r="J25" s="14" t="e">
        <f>G25*COS(H25)-SUM($J$8:J24)</f>
        <v>#VALUE!</v>
      </c>
      <c r="K25" s="15" t="e">
        <f t="shared" si="6"/>
        <v>#VALUE!</v>
      </c>
      <c r="L25" s="11"/>
      <c r="M25" s="11"/>
    </row>
    <row r="26" spans="1:13" x14ac:dyDescent="0.15">
      <c r="A26" s="6">
        <v>19</v>
      </c>
      <c r="B26" s="13" t="str">
        <f t="shared" si="0"/>
        <v/>
      </c>
      <c r="C26" s="13" t="e">
        <f t="shared" si="1"/>
        <v>#VALUE!</v>
      </c>
      <c r="D26" s="13" t="e">
        <f t="shared" si="2"/>
        <v>#VALUE!</v>
      </c>
      <c r="E26" s="13" t="e">
        <f t="shared" si="3"/>
        <v>#VALUE!</v>
      </c>
      <c r="F26" s="13" t="e">
        <f t="shared" si="4"/>
        <v>#VALUE!</v>
      </c>
      <c r="G26" s="13" t="e">
        <f t="shared" si="7"/>
        <v>#VALUE!</v>
      </c>
      <c r="H26" s="13" t="e">
        <f t="shared" si="8"/>
        <v>#VALUE!</v>
      </c>
      <c r="I26" s="13" t="e">
        <f t="shared" si="5"/>
        <v>#VALUE!</v>
      </c>
      <c r="J26" s="14" t="e">
        <f>G26*COS(H26)-SUM($J$8:J25)</f>
        <v>#VALUE!</v>
      </c>
      <c r="K26" s="15" t="e">
        <f t="shared" si="6"/>
        <v>#VALUE!</v>
      </c>
      <c r="L26" s="11"/>
      <c r="M26" s="11"/>
    </row>
    <row r="27" spans="1:13" x14ac:dyDescent="0.15">
      <c r="A27" s="6">
        <v>20</v>
      </c>
      <c r="B27" s="13" t="str">
        <f t="shared" si="0"/>
        <v/>
      </c>
      <c r="C27" s="13" t="e">
        <f t="shared" si="1"/>
        <v>#VALUE!</v>
      </c>
      <c r="D27" s="13" t="e">
        <f t="shared" si="2"/>
        <v>#VALUE!</v>
      </c>
      <c r="E27" s="13" t="e">
        <f t="shared" si="3"/>
        <v>#VALUE!</v>
      </c>
      <c r="F27" s="13" t="e">
        <f t="shared" si="4"/>
        <v>#VALUE!</v>
      </c>
      <c r="G27" s="13" t="e">
        <f t="shared" si="7"/>
        <v>#VALUE!</v>
      </c>
      <c r="H27" s="13" t="e">
        <f t="shared" si="8"/>
        <v>#VALUE!</v>
      </c>
      <c r="I27" s="13" t="e">
        <f t="shared" si="5"/>
        <v>#VALUE!</v>
      </c>
      <c r="J27" s="14" t="e">
        <f>G27*COS(H27)-SUM($J$8:J26)</f>
        <v>#VALUE!</v>
      </c>
      <c r="K27" s="15" t="e">
        <f t="shared" si="6"/>
        <v>#VALUE!</v>
      </c>
      <c r="L27" s="11"/>
      <c r="M27" s="11"/>
    </row>
  </sheetData>
  <mergeCells count="2">
    <mergeCell ref="A3:C3"/>
    <mergeCell ref="A4:C4"/>
  </mergeCells>
  <pageMargins left="0.75" right="0.75" top="1" bottom="1" header="0.5" footer="0.5"/>
  <pageSetup orientation="portrait" horizontalDpi="4294967292" verticalDpi="429496729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Steps for radii (2)</vt:lpstr>
      <vt:lpstr>Steps for radii</vt:lpstr>
      <vt:lpstr>diam2</vt:lpstr>
      <vt:lpstr>ODmin</vt:lpstr>
      <vt:lpstr>'Steps for radii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Weiby</dc:creator>
  <cp:lastModifiedBy>Mike Weiby</cp:lastModifiedBy>
  <dcterms:created xsi:type="dcterms:W3CDTF">2024-11-25T02:54:37Z</dcterms:created>
  <dcterms:modified xsi:type="dcterms:W3CDTF">2024-11-25T02:57:03Z</dcterms:modified>
</cp:coreProperties>
</file>